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"/>
    </mc:Choice>
  </mc:AlternateContent>
  <bookViews>
    <workbookView xWindow="480" yWindow="72" windowWidth="13920" windowHeight="9312"/>
  </bookViews>
  <sheets>
    <sheet name="REPORTE" sheetId="4" r:id="rId1"/>
  </sheets>
  <definedNames>
    <definedName name="ACAPONETA">#REF!</definedName>
    <definedName name="AHUACATLAN">#REF!</definedName>
    <definedName name="AMATLAN">#REF!</definedName>
    <definedName name="_xlnm.Print_Area" localSheetId="0">REPORTE!$A$1:$H$695</definedName>
    <definedName name="BAHIA">#REF!</definedName>
    <definedName name="COMPOSTELA">#REF!</definedName>
    <definedName name="datos" localSheetId="0">REPORTE!#REF!</definedName>
    <definedName name="datos">#REF!</definedName>
    <definedName name="HUAJICORI">#REF!</definedName>
    <definedName name="IXTLÁN">#REF!</definedName>
    <definedName name="JALA">#REF!</definedName>
    <definedName name="LAYESCA">#REF!</definedName>
    <definedName name="NAYAR">#REF!</definedName>
    <definedName name="ROSAMORADA">#REF!</definedName>
    <definedName name="RUIZ">#REF!</definedName>
    <definedName name="SANBLAS">#REF!</definedName>
    <definedName name="SANPEDRO">#REF!</definedName>
    <definedName name="SANTA">#REF!</definedName>
    <definedName name="SANTIAGO">#REF!</definedName>
    <definedName name="TECUALA">#REF!</definedName>
    <definedName name="TEPIC">#REF!</definedName>
    <definedName name="_xlnm.Print_Titles" localSheetId="0">REPORTE!$1:$17</definedName>
    <definedName name="TUXPAN">#REF!</definedName>
    <definedName name="XALISCO">#REF!</definedName>
  </definedNames>
  <calcPr calcId="171027"/>
</workbook>
</file>

<file path=xl/calcChain.xml><?xml version="1.0" encoding="utf-8"?>
<calcChain xmlns="http://schemas.openxmlformats.org/spreadsheetml/2006/main">
  <c r="G28" i="4" l="1"/>
  <c r="K29" i="4"/>
  <c r="K30" i="4"/>
  <c r="G34" i="4"/>
  <c r="G44" i="4"/>
  <c r="G46" i="4"/>
  <c r="G62" i="4"/>
  <c r="G72" i="4" s="1"/>
  <c r="K64" i="4"/>
  <c r="K65" i="4"/>
  <c r="G70" i="4"/>
  <c r="G79" i="4"/>
  <c r="G81" i="4"/>
  <c r="G95" i="4"/>
  <c r="K96" i="4"/>
  <c r="K97" i="4"/>
  <c r="G101" i="4"/>
  <c r="G104" i="4"/>
  <c r="G115" i="4" s="1"/>
  <c r="G111" i="4"/>
  <c r="G113" i="4" s="1"/>
  <c r="G130" i="4"/>
  <c r="G139" i="4" s="1"/>
  <c r="K131" i="4"/>
  <c r="K132" i="4"/>
  <c r="G136" i="4"/>
  <c r="G146" i="4"/>
  <c r="G162" i="4"/>
  <c r="K163" i="4"/>
  <c r="K164" i="4"/>
  <c r="G168" i="4"/>
  <c r="G178" i="4"/>
  <c r="G180" i="4"/>
  <c r="G197" i="4"/>
  <c r="K198" i="4"/>
  <c r="K199" i="4"/>
  <c r="G203" i="4"/>
  <c r="G206" i="4" s="1"/>
  <c r="G213" i="4"/>
  <c r="G215" i="4"/>
  <c r="G230" i="4"/>
  <c r="K231" i="4"/>
  <c r="K232" i="4"/>
  <c r="G236" i="4"/>
  <c r="G239" i="4"/>
  <c r="G246" i="4"/>
  <c r="G248" i="4" s="1"/>
  <c r="G265" i="4"/>
  <c r="K266" i="4"/>
  <c r="K267" i="4"/>
  <c r="G272" i="4"/>
  <c r="G281" i="4"/>
  <c r="G298" i="4"/>
  <c r="G307" i="4" s="1"/>
  <c r="K299" i="4"/>
  <c r="K300" i="4"/>
  <c r="G304" i="4"/>
  <c r="G314" i="4"/>
  <c r="G316" i="4" s="1"/>
  <c r="G333" i="4"/>
  <c r="K334" i="4"/>
  <c r="K335" i="4"/>
  <c r="G339" i="4"/>
  <c r="G342" i="4" s="1"/>
  <c r="G349" i="4"/>
  <c r="G351" i="4"/>
  <c r="G366" i="4"/>
  <c r="K367" i="4"/>
  <c r="K368" i="4"/>
  <c r="G373" i="4"/>
  <c r="G375" i="4" s="1"/>
  <c r="G382" i="4"/>
  <c r="G401" i="4"/>
  <c r="K402" i="4"/>
  <c r="K403" i="4"/>
  <c r="G407" i="4"/>
  <c r="G417" i="4"/>
  <c r="G434" i="4"/>
  <c r="G443" i="4" s="1"/>
  <c r="K435" i="4"/>
  <c r="K436" i="4"/>
  <c r="G440" i="4"/>
  <c r="G450" i="4"/>
  <c r="G468" i="4"/>
  <c r="K470" i="4"/>
  <c r="K471" i="4"/>
  <c r="G476" i="4"/>
  <c r="G485" i="4"/>
  <c r="G487" i="4" s="1"/>
  <c r="G502" i="4"/>
  <c r="K503" i="4"/>
  <c r="K504" i="4"/>
  <c r="G508" i="4"/>
  <c r="G511" i="4"/>
  <c r="G518" i="4"/>
  <c r="G520" i="4" s="1"/>
  <c r="G537" i="4"/>
  <c r="K538" i="4"/>
  <c r="K539" i="4"/>
  <c r="G544" i="4"/>
  <c r="G546" i="4"/>
  <c r="G557" i="4" s="1"/>
  <c r="G553" i="4"/>
  <c r="G555" i="4" s="1"/>
  <c r="G570" i="4"/>
  <c r="K571" i="4"/>
  <c r="K572" i="4"/>
  <c r="G576" i="4"/>
  <c r="G586" i="4"/>
  <c r="G588" i="4"/>
  <c r="G605" i="4"/>
  <c r="K606" i="4"/>
  <c r="K607" i="4"/>
  <c r="G611" i="4"/>
  <c r="G621" i="4"/>
  <c r="G623" i="4" s="1"/>
  <c r="G638" i="4"/>
  <c r="K639" i="4"/>
  <c r="K640" i="4"/>
  <c r="G644" i="4"/>
  <c r="G654" i="4"/>
  <c r="G656" i="4" s="1"/>
  <c r="G673" i="4"/>
  <c r="G682" i="4" s="1"/>
  <c r="G693" i="4" s="1"/>
  <c r="H671" i="4" s="1"/>
  <c r="K674" i="4"/>
  <c r="K675" i="4"/>
  <c r="G680" i="4"/>
  <c r="G689" i="4"/>
  <c r="G691" i="4" s="1"/>
  <c r="H307" i="4" l="1"/>
  <c r="H680" i="4"/>
  <c r="G647" i="4"/>
  <c r="H647" i="4" s="1"/>
  <c r="G579" i="4"/>
  <c r="G590" i="4" s="1"/>
  <c r="H565" i="4" s="1"/>
  <c r="G522" i="4"/>
  <c r="H498" i="4" s="1"/>
  <c r="G318" i="4"/>
  <c r="H310" i="4" s="1"/>
  <c r="G171" i="4"/>
  <c r="H111" i="4"/>
  <c r="H566" i="4"/>
  <c r="H582" i="4"/>
  <c r="H570" i="4"/>
  <c r="H576" i="4"/>
  <c r="G658" i="4"/>
  <c r="H533" i="4"/>
  <c r="H553" i="4"/>
  <c r="H532" i="4"/>
  <c r="H549" i="4"/>
  <c r="H555" i="4" s="1"/>
  <c r="H537" i="4"/>
  <c r="H544" i="4"/>
  <c r="H682" i="4"/>
  <c r="G384" i="4"/>
  <c r="G386" i="4" s="1"/>
  <c r="H382" i="4" s="1"/>
  <c r="H579" i="4"/>
  <c r="G478" i="4"/>
  <c r="G83" i="4"/>
  <c r="H72" i="4" s="1"/>
  <c r="H669" i="4"/>
  <c r="H546" i="4"/>
  <c r="H293" i="4"/>
  <c r="G283" i="4"/>
  <c r="H685" i="4"/>
  <c r="H668" i="4"/>
  <c r="H586" i="4"/>
  <c r="H514" i="4"/>
  <c r="H497" i="4"/>
  <c r="G419" i="4"/>
  <c r="H304" i="4"/>
  <c r="H689" i="4"/>
  <c r="G614" i="4"/>
  <c r="H518" i="4"/>
  <c r="H508" i="4"/>
  <c r="H502" i="4"/>
  <c r="G452" i="4"/>
  <c r="G454" i="4" s="1"/>
  <c r="G410" i="4"/>
  <c r="G353" i="4"/>
  <c r="H339" i="4" s="1"/>
  <c r="G274" i="4"/>
  <c r="G250" i="4"/>
  <c r="H239" i="4" s="1"/>
  <c r="H107" i="4"/>
  <c r="H113" i="4" s="1"/>
  <c r="H91" i="4"/>
  <c r="H90" i="4"/>
  <c r="H101" i="4"/>
  <c r="H95" i="4"/>
  <c r="H314" i="4"/>
  <c r="H316" i="4" s="1"/>
  <c r="G217" i="4"/>
  <c r="H203" i="4" s="1"/>
  <c r="G148" i="4"/>
  <c r="G150" i="4" s="1"/>
  <c r="H139" i="4" s="1"/>
  <c r="H104" i="4"/>
  <c r="H115" i="4" s="1"/>
  <c r="G37" i="4"/>
  <c r="H70" i="4" l="1"/>
  <c r="H375" i="4"/>
  <c r="H62" i="4"/>
  <c r="G182" i="4"/>
  <c r="H171" i="4"/>
  <c r="H318" i="4"/>
  <c r="H557" i="4"/>
  <c r="H691" i="4"/>
  <c r="H294" i="4"/>
  <c r="H296" i="4"/>
  <c r="H511" i="4"/>
  <c r="H429" i="4"/>
  <c r="H432" i="4"/>
  <c r="H440" i="4"/>
  <c r="H446" i="4"/>
  <c r="H452" i="4" s="1"/>
  <c r="H430" i="4"/>
  <c r="H443" i="4"/>
  <c r="H454" i="4" s="1"/>
  <c r="H450" i="4"/>
  <c r="G48" i="4"/>
  <c r="H37" i="4"/>
  <c r="H636" i="4"/>
  <c r="H650" i="4"/>
  <c r="H633" i="4"/>
  <c r="H644" i="4"/>
  <c r="H654" i="4"/>
  <c r="H634" i="4"/>
  <c r="H588" i="4"/>
  <c r="H590" i="4" s="1"/>
  <c r="H274" i="4"/>
  <c r="G285" i="4"/>
  <c r="G421" i="4"/>
  <c r="H410" i="4" s="1"/>
  <c r="G489" i="4"/>
  <c r="H478" i="4"/>
  <c r="H378" i="4"/>
  <c r="H384" i="4" s="1"/>
  <c r="H386" i="4" s="1"/>
  <c r="H362" i="4"/>
  <c r="H361" i="4"/>
  <c r="H366" i="4"/>
  <c r="H373" i="4"/>
  <c r="H146" i="4"/>
  <c r="H197" i="4"/>
  <c r="H331" i="4"/>
  <c r="H345" i="4"/>
  <c r="H329" i="4"/>
  <c r="H349" i="4"/>
  <c r="H342" i="4"/>
  <c r="H328" i="4"/>
  <c r="G625" i="4"/>
  <c r="H614" i="4"/>
  <c r="H520" i="4"/>
  <c r="H522" i="4" s="1"/>
  <c r="H75" i="4"/>
  <c r="H58" i="4"/>
  <c r="H79" i="4"/>
  <c r="H59" i="4"/>
  <c r="H126" i="4"/>
  <c r="H125" i="4"/>
  <c r="H130" i="4"/>
  <c r="H136" i="4"/>
  <c r="H142" i="4"/>
  <c r="H209" i="4"/>
  <c r="H193" i="4"/>
  <c r="H213" i="4"/>
  <c r="H206" i="4"/>
  <c r="H192" i="4"/>
  <c r="H242" i="4"/>
  <c r="H226" i="4"/>
  <c r="H230" i="4"/>
  <c r="H236" i="4"/>
  <c r="H246" i="4"/>
  <c r="H225" i="4"/>
  <c r="H693" i="4"/>
  <c r="H157" i="4" l="1"/>
  <c r="H174" i="4"/>
  <c r="H158" i="4"/>
  <c r="H168" i="4"/>
  <c r="H178" i="4"/>
  <c r="H160" i="4"/>
  <c r="H215" i="4"/>
  <c r="H351" i="4"/>
  <c r="H656" i="4"/>
  <c r="H658" i="4" s="1"/>
  <c r="H217" i="4"/>
  <c r="H148" i="4"/>
  <c r="H150" i="4" s="1"/>
  <c r="H353" i="4"/>
  <c r="H485" i="4"/>
  <c r="H481" i="4"/>
  <c r="H464" i="4"/>
  <c r="H465" i="4"/>
  <c r="H476" i="4"/>
  <c r="H468" i="4"/>
  <c r="H397" i="4"/>
  <c r="H396" i="4"/>
  <c r="H413" i="4"/>
  <c r="H407" i="4"/>
  <c r="H417" i="4"/>
  <c r="H401" i="4"/>
  <c r="H248" i="4"/>
  <c r="H250" i="4" s="1"/>
  <c r="H81" i="4"/>
  <c r="H83" i="4" s="1"/>
  <c r="H621" i="4"/>
  <c r="H601" i="4"/>
  <c r="H617" i="4"/>
  <c r="H603" i="4"/>
  <c r="H600" i="4"/>
  <c r="H611" i="4"/>
  <c r="H261" i="4"/>
  <c r="H260" i="4"/>
  <c r="H277" i="4"/>
  <c r="H283" i="4" s="1"/>
  <c r="H285" i="4" s="1"/>
  <c r="H272" i="4"/>
  <c r="H265" i="4"/>
  <c r="H281" i="4"/>
  <c r="H23" i="4"/>
  <c r="H40" i="4"/>
  <c r="H24" i="4"/>
  <c r="H26" i="4"/>
  <c r="H34" i="4"/>
  <c r="H44" i="4"/>
  <c r="H623" i="4" l="1"/>
  <c r="H625" i="4" s="1"/>
  <c r="H487" i="4"/>
  <c r="H489" i="4" s="1"/>
  <c r="H180" i="4"/>
  <c r="H182" i="4" s="1"/>
  <c r="H46" i="4"/>
  <c r="H48" i="4" s="1"/>
  <c r="H419" i="4"/>
  <c r="H421" i="4" s="1"/>
</calcChain>
</file>

<file path=xl/sharedStrings.xml><?xml version="1.0" encoding="utf-8"?>
<sst xmlns="http://schemas.openxmlformats.org/spreadsheetml/2006/main" count="540" uniqueCount="45">
  <si>
    <t>TEPIC</t>
  </si>
  <si>
    <t>CONCEPTO</t>
  </si>
  <si>
    <t>IMPORTE</t>
  </si>
  <si>
    <t>%</t>
  </si>
  <si>
    <t>Fondo General de Participaciones</t>
  </si>
  <si>
    <t>Fondo de Fomento Municipal</t>
  </si>
  <si>
    <t>Nuevas Potestades (Gasolina y Diesel)</t>
  </si>
  <si>
    <t>Fondo de Fiscalización</t>
  </si>
  <si>
    <t>Impuesto Predial</t>
  </si>
  <si>
    <t>Impuesto Sobre Adquisición de Bienes Inmuebles</t>
  </si>
  <si>
    <t>APORTACIONES PARA ENTIDADES Y MUNICIPIOS (RAMO 33)</t>
  </si>
  <si>
    <t>Fondo de Aportaciones para la Infraestructura Social Municipal</t>
  </si>
  <si>
    <t>Fondo de Aportaciones para el Fortalecimiento de los Municipios</t>
  </si>
  <si>
    <t>TOTAL</t>
  </si>
  <si>
    <t>ACAPONETA</t>
  </si>
  <si>
    <t>AMATLÁN DE CAÑAS</t>
  </si>
  <si>
    <t>AHUACATLÁN</t>
  </si>
  <si>
    <t>COMPOSTELA</t>
  </si>
  <si>
    <t>JALA</t>
  </si>
  <si>
    <t>ROSAMORADA</t>
  </si>
  <si>
    <t>RUIZ</t>
  </si>
  <si>
    <t>SAN BLAS</t>
  </si>
  <si>
    <t>SANTIAGO IXCUINTLA</t>
  </si>
  <si>
    <t>TECUALA</t>
  </si>
  <si>
    <t>TUXPAN</t>
  </si>
  <si>
    <t>XALISCO</t>
  </si>
  <si>
    <t>SAN PEDRO LAGUNILLAS</t>
  </si>
  <si>
    <t>LA YESCA</t>
  </si>
  <si>
    <t>EL NAYAR</t>
  </si>
  <si>
    <t>HUAJICORI</t>
  </si>
  <si>
    <t>BAHÍA DE BANDERAS</t>
  </si>
  <si>
    <t>Fondo de Compensación</t>
  </si>
  <si>
    <t>Impuesto Sobre Automóviles Nuevos</t>
  </si>
  <si>
    <t>Impuesto Especial Sobre Producción y Servicios</t>
  </si>
  <si>
    <t>Tenencia Estatal</t>
  </si>
  <si>
    <t>CONVENIOS DE COLABORACIÓN ADMINISTRATIVA</t>
  </si>
  <si>
    <t>PARCIAL</t>
  </si>
  <si>
    <t>PARTICIPACIONES A MUNICIPIOS</t>
  </si>
  <si>
    <t>Participaciones de las Entidades Federativas a los Municipios</t>
  </si>
  <si>
    <t>Otros conceptos participables de la Federación a las Entidades Federativas</t>
  </si>
  <si>
    <t>Fondo Impuesto Sobre la Renta</t>
  </si>
  <si>
    <t>SUBTOTAL</t>
  </si>
  <si>
    <t>Zona Federal Marítima - Terrestre  (ZOFEMAT)</t>
  </si>
  <si>
    <t>IXTLAN DEL RÍO</t>
  </si>
  <si>
    <t>SANTA MARIA DEL 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</si>
</sst>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_-;\(* #,##0.00\);_-* &quot;-&quot;??_-;_-@_-"/>
  </numFmts>
  <fonts count="7" x14ac:knownFonts="1">
    <font>
      <sz val="11"/>
      <color theme="1"/>
      <name val="Calibri"/>
      <family val="2"/>
      <scheme val="minor"/>
    </font>
    <font>
      <b/>
      <u/>
      <sz val="9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2" fillId="3" borderId="0" xfId="0" applyFont="1" applyFill="1"/>
    <xf numFmtId="164" fontId="2" fillId="3" borderId="0" xfId="1" applyNumberFormat="1" applyFont="1" applyFill="1"/>
    <xf numFmtId="10" fontId="2" fillId="3" borderId="0" xfId="6" applyNumberFormat="1" applyFont="1" applyFill="1"/>
    <xf numFmtId="43" fontId="2" fillId="3" borderId="4" xfId="1" applyFont="1" applyFill="1" applyBorder="1"/>
    <xf numFmtId="43" fontId="2" fillId="3" borderId="5" xfId="1" applyFont="1" applyFill="1" applyBorder="1"/>
    <xf numFmtId="0" fontId="2" fillId="3" borderId="0" xfId="0" applyFont="1" applyFill="1" applyBorder="1"/>
    <xf numFmtId="164" fontId="2" fillId="3" borderId="0" xfId="1" applyNumberFormat="1" applyFont="1" applyFill="1" applyBorder="1"/>
    <xf numFmtId="10" fontId="2" fillId="3" borderId="0" xfId="6" applyNumberFormat="1" applyFont="1" applyFill="1" applyBorder="1"/>
    <xf numFmtId="43" fontId="2" fillId="3" borderId="0" xfId="1" applyFont="1" applyFill="1"/>
    <xf numFmtId="44" fontId="2" fillId="3" borderId="4" xfId="3" applyFont="1" applyFill="1" applyBorder="1"/>
    <xf numFmtId="164" fontId="5" fillId="2" borderId="11" xfId="1" applyNumberFormat="1" applyFont="1" applyFill="1" applyBorder="1" applyAlignment="1">
      <alignment horizontal="center" vertical="center"/>
    </xf>
    <xf numFmtId="164" fontId="4" fillId="2" borderId="10" xfId="2" applyNumberFormat="1" applyFont="1" applyFill="1" applyBorder="1" applyAlignment="1">
      <alignment horizontal="center"/>
    </xf>
    <xf numFmtId="10" fontId="4" fillId="2" borderId="10" xfId="7" quotePrefix="1" applyNumberFormat="1" applyFont="1" applyFill="1" applyBorder="1" applyAlignment="1">
      <alignment horizontal="center"/>
    </xf>
    <xf numFmtId="0" fontId="2" fillId="3" borderId="2" xfId="5" applyFont="1" applyFill="1" applyBorder="1"/>
    <xf numFmtId="43" fontId="2" fillId="3" borderId="2" xfId="2" applyFont="1" applyFill="1" applyBorder="1"/>
    <xf numFmtId="43" fontId="2" fillId="3" borderId="3" xfId="2" applyFont="1" applyFill="1" applyBorder="1"/>
    <xf numFmtId="10" fontId="2" fillId="3" borderId="9" xfId="7" applyNumberFormat="1" applyFont="1" applyFill="1" applyBorder="1"/>
    <xf numFmtId="164" fontId="2" fillId="3" borderId="0" xfId="2" applyNumberFormat="1" applyFont="1" applyFill="1"/>
    <xf numFmtId="44" fontId="2" fillId="3" borderId="4" xfId="4" applyFont="1" applyFill="1" applyBorder="1"/>
    <xf numFmtId="10" fontId="2" fillId="3" borderId="2" xfId="7" applyNumberFormat="1" applyFont="1" applyFill="1" applyBorder="1"/>
    <xf numFmtId="43" fontId="2" fillId="3" borderId="4" xfId="2" applyFont="1" applyFill="1" applyBorder="1"/>
    <xf numFmtId="164" fontId="2" fillId="3" borderId="4" xfId="2" applyNumberFormat="1" applyFont="1" applyFill="1" applyBorder="1"/>
    <xf numFmtId="0" fontId="2" fillId="3" borderId="2" xfId="5" applyFont="1" applyFill="1" applyBorder="1" applyAlignment="1">
      <alignment horizontal="left" indent="2"/>
    </xf>
    <xf numFmtId="0" fontId="2" fillId="3" borderId="4" xfId="5" applyFont="1" applyFill="1" applyBorder="1"/>
    <xf numFmtId="43" fontId="2" fillId="3" borderId="5" xfId="2" applyFont="1" applyFill="1" applyBorder="1"/>
    <xf numFmtId="10" fontId="2" fillId="3" borderId="5" xfId="7" applyNumberFormat="1" applyFont="1" applyFill="1" applyBorder="1"/>
    <xf numFmtId="0" fontId="4" fillId="3" borderId="2" xfId="5" applyFont="1" applyFill="1" applyBorder="1" applyAlignment="1">
      <alignment horizontal="center"/>
    </xf>
    <xf numFmtId="44" fontId="4" fillId="3" borderId="5" xfId="3" applyFont="1" applyFill="1" applyBorder="1"/>
    <xf numFmtId="10" fontId="4" fillId="3" borderId="6" xfId="7" applyNumberFormat="1" applyFont="1" applyFill="1" applyBorder="1"/>
    <xf numFmtId="44" fontId="4" fillId="3" borderId="4" xfId="3" applyFont="1" applyFill="1" applyBorder="1"/>
    <xf numFmtId="10" fontId="4" fillId="3" borderId="2" xfId="7" applyNumberFormat="1" applyFont="1" applyFill="1" applyBorder="1"/>
    <xf numFmtId="0" fontId="2" fillId="3" borderId="0" xfId="5" applyFont="1" applyFill="1" applyBorder="1"/>
    <xf numFmtId="0" fontId="2" fillId="3" borderId="0" xfId="5" applyFont="1" applyFill="1" applyAlignment="1">
      <alignment horizontal="left"/>
    </xf>
    <xf numFmtId="165" fontId="2" fillId="3" borderId="4" xfId="2" applyNumberFormat="1" applyFont="1" applyFill="1" applyBorder="1"/>
    <xf numFmtId="10" fontId="2" fillId="3" borderId="4" xfId="7" applyNumberFormat="1" applyFont="1" applyFill="1" applyBorder="1"/>
    <xf numFmtId="10" fontId="2" fillId="3" borderId="6" xfId="7" applyNumberFormat="1" applyFont="1" applyFill="1" applyBorder="1"/>
    <xf numFmtId="0" fontId="4" fillId="3" borderId="0" xfId="5" applyFont="1" applyFill="1" applyBorder="1" applyAlignment="1">
      <alignment horizontal="center"/>
    </xf>
    <xf numFmtId="44" fontId="4" fillId="3" borderId="7" xfId="4" applyFont="1" applyFill="1" applyBorder="1"/>
    <xf numFmtId="10" fontId="4" fillId="3" borderId="7" xfId="7" applyNumberFormat="1" applyFont="1" applyFill="1" applyBorder="1"/>
    <xf numFmtId="0" fontId="2" fillId="3" borderId="6" xfId="5" applyFont="1" applyFill="1" applyBorder="1"/>
    <xf numFmtId="164" fontId="2" fillId="3" borderId="6" xfId="2" applyNumberFormat="1" applyFont="1" applyFill="1" applyBorder="1"/>
    <xf numFmtId="43" fontId="2" fillId="3" borderId="0" xfId="1" applyNumberFormat="1" applyFont="1" applyFill="1"/>
    <xf numFmtId="10" fontId="2" fillId="3" borderId="2" xfId="5" applyNumberFormat="1" applyFont="1" applyFill="1" applyBorder="1"/>
    <xf numFmtId="0" fontId="4" fillId="3" borderId="9" xfId="5" applyFont="1" applyFill="1" applyBorder="1" applyAlignment="1">
      <alignment horizontal="center"/>
    </xf>
    <xf numFmtId="164" fontId="5" fillId="3" borderId="9" xfId="1" applyNumberFormat="1" applyFont="1" applyFill="1" applyBorder="1" applyAlignment="1">
      <alignment horizontal="center" vertical="center"/>
    </xf>
    <xf numFmtId="164" fontId="4" fillId="3" borderId="9" xfId="2" applyNumberFormat="1" applyFont="1" applyFill="1" applyBorder="1" applyAlignment="1">
      <alignment horizontal="center"/>
    </xf>
    <xf numFmtId="10" fontId="4" fillId="3" borderId="9" xfId="7" quotePrefix="1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 indent="1"/>
    </xf>
    <xf numFmtId="0" fontId="4" fillId="3" borderId="12" xfId="5" applyFont="1" applyFill="1" applyBorder="1" applyAlignment="1">
      <alignment horizontal="left" indent="1"/>
    </xf>
    <xf numFmtId="0" fontId="1" fillId="3" borderId="1" xfId="5" applyFont="1" applyFill="1" applyBorder="1" applyAlignment="1">
      <alignment horizontal="left" indent="1"/>
    </xf>
    <xf numFmtId="0" fontId="1" fillId="3" borderId="8" xfId="5" applyFont="1" applyFill="1" applyBorder="1" applyAlignment="1">
      <alignment horizontal="left" indent="1"/>
    </xf>
    <xf numFmtId="0" fontId="1" fillId="3" borderId="0" xfId="0" applyFont="1" applyFill="1" applyBorder="1" applyAlignment="1">
      <alignment horizontal="left" indent="1"/>
    </xf>
    <xf numFmtId="0" fontId="4" fillId="2" borderId="13" xfId="5" applyFont="1" applyFill="1" applyBorder="1" applyAlignment="1">
      <alignment horizontal="center"/>
    </xf>
    <xf numFmtId="0" fontId="4" fillId="2" borderId="10" xfId="5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8">
    <cellStyle name="Millares" xfId="1" builtinId="3"/>
    <cellStyle name="Millares 2" xfId="2"/>
    <cellStyle name="Moneda" xfId="3" builtinId="4"/>
    <cellStyle name="Moneda 2" xfId="4"/>
    <cellStyle name="Normal" xfId="0" builtinId="0"/>
    <cellStyle name="Normal 2" xfId="5"/>
    <cellStyle name="Porcentaje" xfId="6" builtinId="5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18</xdr:row>
      <xdr:rowOff>0</xdr:rowOff>
    </xdr:from>
    <xdr:to>
      <xdr:col>9</xdr:col>
      <xdr:colOff>342900</xdr:colOff>
      <xdr:row>22</xdr:row>
      <xdr:rowOff>0</xdr:rowOff>
    </xdr:to>
    <xdr:sp macro="" textlink="">
      <xdr:nvSpPr>
        <xdr:cNvPr id="5332" name="Rectangle 6"/>
        <xdr:cNvSpPr>
          <a:spLocks noChangeArrowheads="1"/>
        </xdr:cNvSpPr>
      </xdr:nvSpPr>
      <xdr:spPr bwMode="auto">
        <a:xfrm>
          <a:off x="7879080" y="30403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0</xdr:row>
      <xdr:rowOff>0</xdr:rowOff>
    </xdr:from>
    <xdr:to>
      <xdr:col>4</xdr:col>
      <xdr:colOff>1318260</xdr:colOff>
      <xdr:row>13</xdr:row>
      <xdr:rowOff>83820</xdr:rowOff>
    </xdr:to>
    <xdr:pic>
      <xdr:nvPicPr>
        <xdr:cNvPr id="5333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5"/>
        <a:stretch>
          <a:fillRect/>
        </a:stretch>
      </xdr:blipFill>
      <xdr:spPr bwMode="auto">
        <a:xfrm>
          <a:off x="22860" y="0"/>
          <a:ext cx="2194560" cy="2263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</xdr:colOff>
      <xdr:row>13</xdr:row>
      <xdr:rowOff>97155</xdr:rowOff>
    </xdr:from>
    <xdr:ext cx="2199032" cy="500256"/>
    <xdr:sp macro="" textlink="">
      <xdr:nvSpPr>
        <xdr:cNvPr id="4" name="Rectangle 6"/>
        <xdr:cNvSpPr>
          <a:spLocks noChangeArrowheads="1"/>
        </xdr:cNvSpPr>
      </xdr:nvSpPr>
      <xdr:spPr bwMode="auto">
        <a:xfrm>
          <a:off x="1" y="2243455"/>
          <a:ext cx="2199032" cy="500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 anchor="t" upright="1">
          <a:noAutofit/>
        </a:bodyPr>
        <a:lstStyle/>
        <a:p>
          <a:pPr algn="ctr" rtl="1">
            <a:defRPr sz="1000"/>
          </a:pPr>
          <a:r>
            <a:rPr lang="es-ES" sz="1750" b="1" i="0" strike="noStrike" baseline="0">
              <a:solidFill>
                <a:srgbClr val="1B795A"/>
              </a:solidFill>
              <a:latin typeface="Arial"/>
              <a:ea typeface="+mn-ea"/>
              <a:cs typeface="Arial"/>
            </a:rPr>
            <a:t>P</a:t>
          </a:r>
          <a:r>
            <a:rPr lang="es-ES" sz="1750" b="1" i="0" strike="noStrike" baseline="0">
              <a:solidFill>
                <a:srgbClr val="1B795A"/>
              </a:solidFill>
              <a:latin typeface="Arial"/>
              <a:cs typeface="Arial"/>
            </a:rPr>
            <a:t>ODER EJECUTIVO NAYARIT</a:t>
          </a:r>
          <a:endParaRPr lang="es-ES" sz="175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ES" sz="96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9</xdr:col>
      <xdr:colOff>0</xdr:colOff>
      <xdr:row>53</xdr:row>
      <xdr:rowOff>0</xdr:rowOff>
    </xdr:from>
    <xdr:to>
      <xdr:col>9</xdr:col>
      <xdr:colOff>342900</xdr:colOff>
      <xdr:row>57</xdr:row>
      <xdr:rowOff>0</xdr:rowOff>
    </xdr:to>
    <xdr:sp macro="" textlink="">
      <xdr:nvSpPr>
        <xdr:cNvPr id="5335" name="Rectangle 6"/>
        <xdr:cNvSpPr>
          <a:spLocks noChangeArrowheads="1"/>
        </xdr:cNvSpPr>
      </xdr:nvSpPr>
      <xdr:spPr bwMode="auto">
        <a:xfrm>
          <a:off x="7879080" y="69342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342900</xdr:colOff>
      <xdr:row>57</xdr:row>
      <xdr:rowOff>0</xdr:rowOff>
    </xdr:to>
    <xdr:sp macro="" textlink="">
      <xdr:nvSpPr>
        <xdr:cNvPr id="5336" name="Rectangle 6"/>
        <xdr:cNvSpPr>
          <a:spLocks noChangeArrowheads="1"/>
        </xdr:cNvSpPr>
      </xdr:nvSpPr>
      <xdr:spPr bwMode="auto">
        <a:xfrm>
          <a:off x="7879080" y="69342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342900</xdr:colOff>
      <xdr:row>57</xdr:row>
      <xdr:rowOff>0</xdr:rowOff>
    </xdr:to>
    <xdr:sp macro="" textlink="">
      <xdr:nvSpPr>
        <xdr:cNvPr id="5337" name="Rectangle 6"/>
        <xdr:cNvSpPr>
          <a:spLocks noChangeArrowheads="1"/>
        </xdr:cNvSpPr>
      </xdr:nvSpPr>
      <xdr:spPr bwMode="auto">
        <a:xfrm>
          <a:off x="7879080" y="69342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342900</xdr:colOff>
      <xdr:row>57</xdr:row>
      <xdr:rowOff>0</xdr:rowOff>
    </xdr:to>
    <xdr:sp macro="" textlink="">
      <xdr:nvSpPr>
        <xdr:cNvPr id="5338" name="Rectangle 6"/>
        <xdr:cNvSpPr>
          <a:spLocks noChangeArrowheads="1"/>
        </xdr:cNvSpPr>
      </xdr:nvSpPr>
      <xdr:spPr bwMode="auto">
        <a:xfrm>
          <a:off x="7879080" y="69342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85</xdr:row>
      <xdr:rowOff>0</xdr:rowOff>
    </xdr:from>
    <xdr:to>
      <xdr:col>9</xdr:col>
      <xdr:colOff>342900</xdr:colOff>
      <xdr:row>89</xdr:row>
      <xdr:rowOff>0</xdr:rowOff>
    </xdr:to>
    <xdr:sp macro="" textlink="">
      <xdr:nvSpPr>
        <xdr:cNvPr id="5339" name="Rectangle 6"/>
        <xdr:cNvSpPr>
          <a:spLocks noChangeArrowheads="1"/>
        </xdr:cNvSpPr>
      </xdr:nvSpPr>
      <xdr:spPr bwMode="auto">
        <a:xfrm>
          <a:off x="7879080" y="106299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9</xdr:col>
      <xdr:colOff>342900</xdr:colOff>
      <xdr:row>124</xdr:row>
      <xdr:rowOff>0</xdr:rowOff>
    </xdr:to>
    <xdr:sp macro="" textlink="">
      <xdr:nvSpPr>
        <xdr:cNvPr id="5340" name="Rectangle 6"/>
        <xdr:cNvSpPr>
          <a:spLocks noChangeArrowheads="1"/>
        </xdr:cNvSpPr>
      </xdr:nvSpPr>
      <xdr:spPr bwMode="auto">
        <a:xfrm>
          <a:off x="7879080" y="146761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9</xdr:col>
      <xdr:colOff>342900</xdr:colOff>
      <xdr:row>124</xdr:row>
      <xdr:rowOff>0</xdr:rowOff>
    </xdr:to>
    <xdr:sp macro="" textlink="">
      <xdr:nvSpPr>
        <xdr:cNvPr id="5341" name="Rectangle 6"/>
        <xdr:cNvSpPr>
          <a:spLocks noChangeArrowheads="1"/>
        </xdr:cNvSpPr>
      </xdr:nvSpPr>
      <xdr:spPr bwMode="auto">
        <a:xfrm>
          <a:off x="7879080" y="146761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9</xdr:col>
      <xdr:colOff>342900</xdr:colOff>
      <xdr:row>124</xdr:row>
      <xdr:rowOff>0</xdr:rowOff>
    </xdr:to>
    <xdr:sp macro="" textlink="">
      <xdr:nvSpPr>
        <xdr:cNvPr id="5342" name="Rectangle 6"/>
        <xdr:cNvSpPr>
          <a:spLocks noChangeArrowheads="1"/>
        </xdr:cNvSpPr>
      </xdr:nvSpPr>
      <xdr:spPr bwMode="auto">
        <a:xfrm>
          <a:off x="7879080" y="146761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9</xdr:col>
      <xdr:colOff>342900</xdr:colOff>
      <xdr:row>124</xdr:row>
      <xdr:rowOff>0</xdr:rowOff>
    </xdr:to>
    <xdr:sp macro="" textlink="">
      <xdr:nvSpPr>
        <xdr:cNvPr id="5343" name="Rectangle 6"/>
        <xdr:cNvSpPr>
          <a:spLocks noChangeArrowheads="1"/>
        </xdr:cNvSpPr>
      </xdr:nvSpPr>
      <xdr:spPr bwMode="auto">
        <a:xfrm>
          <a:off x="7879080" y="146761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152</xdr:row>
      <xdr:rowOff>0</xdr:rowOff>
    </xdr:from>
    <xdr:to>
      <xdr:col>9</xdr:col>
      <xdr:colOff>342900</xdr:colOff>
      <xdr:row>156</xdr:row>
      <xdr:rowOff>0</xdr:rowOff>
    </xdr:to>
    <xdr:sp macro="" textlink="">
      <xdr:nvSpPr>
        <xdr:cNvPr id="5344" name="Rectangle 6"/>
        <xdr:cNvSpPr>
          <a:spLocks noChangeArrowheads="1"/>
        </xdr:cNvSpPr>
      </xdr:nvSpPr>
      <xdr:spPr bwMode="auto">
        <a:xfrm>
          <a:off x="7879080" y="18219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342900</xdr:colOff>
      <xdr:row>191</xdr:row>
      <xdr:rowOff>0</xdr:rowOff>
    </xdr:to>
    <xdr:sp macro="" textlink="">
      <xdr:nvSpPr>
        <xdr:cNvPr id="5345" name="Rectangle 6"/>
        <xdr:cNvSpPr>
          <a:spLocks noChangeArrowheads="1"/>
        </xdr:cNvSpPr>
      </xdr:nvSpPr>
      <xdr:spPr bwMode="auto">
        <a:xfrm>
          <a:off x="7879080" y="224180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342900</xdr:colOff>
      <xdr:row>191</xdr:row>
      <xdr:rowOff>0</xdr:rowOff>
    </xdr:to>
    <xdr:sp macro="" textlink="">
      <xdr:nvSpPr>
        <xdr:cNvPr id="5346" name="Rectangle 6"/>
        <xdr:cNvSpPr>
          <a:spLocks noChangeArrowheads="1"/>
        </xdr:cNvSpPr>
      </xdr:nvSpPr>
      <xdr:spPr bwMode="auto">
        <a:xfrm>
          <a:off x="7879080" y="224180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342900</xdr:colOff>
      <xdr:row>191</xdr:row>
      <xdr:rowOff>0</xdr:rowOff>
    </xdr:to>
    <xdr:sp macro="" textlink="">
      <xdr:nvSpPr>
        <xdr:cNvPr id="5347" name="Rectangle 6"/>
        <xdr:cNvSpPr>
          <a:spLocks noChangeArrowheads="1"/>
        </xdr:cNvSpPr>
      </xdr:nvSpPr>
      <xdr:spPr bwMode="auto">
        <a:xfrm>
          <a:off x="7879080" y="224180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187</xdr:row>
      <xdr:rowOff>0</xdr:rowOff>
    </xdr:from>
    <xdr:to>
      <xdr:col>9</xdr:col>
      <xdr:colOff>342900</xdr:colOff>
      <xdr:row>191</xdr:row>
      <xdr:rowOff>0</xdr:rowOff>
    </xdr:to>
    <xdr:sp macro="" textlink="">
      <xdr:nvSpPr>
        <xdr:cNvPr id="5348" name="Rectangle 6"/>
        <xdr:cNvSpPr>
          <a:spLocks noChangeArrowheads="1"/>
        </xdr:cNvSpPr>
      </xdr:nvSpPr>
      <xdr:spPr bwMode="auto">
        <a:xfrm>
          <a:off x="7879080" y="2241804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342900</xdr:colOff>
      <xdr:row>224</xdr:row>
      <xdr:rowOff>0</xdr:rowOff>
    </xdr:to>
    <xdr:sp macro="" textlink="">
      <xdr:nvSpPr>
        <xdr:cNvPr id="5349" name="Rectangle 6"/>
        <xdr:cNvSpPr>
          <a:spLocks noChangeArrowheads="1"/>
        </xdr:cNvSpPr>
      </xdr:nvSpPr>
      <xdr:spPr bwMode="auto">
        <a:xfrm>
          <a:off x="7879080" y="261213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255</xdr:row>
      <xdr:rowOff>0</xdr:rowOff>
    </xdr:from>
    <xdr:to>
      <xdr:col>9</xdr:col>
      <xdr:colOff>342900</xdr:colOff>
      <xdr:row>259</xdr:row>
      <xdr:rowOff>0</xdr:rowOff>
    </xdr:to>
    <xdr:sp macro="" textlink="">
      <xdr:nvSpPr>
        <xdr:cNvPr id="5350" name="Rectangle 6"/>
        <xdr:cNvSpPr>
          <a:spLocks noChangeArrowheads="1"/>
        </xdr:cNvSpPr>
      </xdr:nvSpPr>
      <xdr:spPr bwMode="auto">
        <a:xfrm>
          <a:off x="7879080" y="301599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255</xdr:row>
      <xdr:rowOff>0</xdr:rowOff>
    </xdr:from>
    <xdr:to>
      <xdr:col>9</xdr:col>
      <xdr:colOff>342900</xdr:colOff>
      <xdr:row>259</xdr:row>
      <xdr:rowOff>0</xdr:rowOff>
    </xdr:to>
    <xdr:sp macro="" textlink="">
      <xdr:nvSpPr>
        <xdr:cNvPr id="5351" name="Rectangle 6"/>
        <xdr:cNvSpPr>
          <a:spLocks noChangeArrowheads="1"/>
        </xdr:cNvSpPr>
      </xdr:nvSpPr>
      <xdr:spPr bwMode="auto">
        <a:xfrm>
          <a:off x="7879080" y="301599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255</xdr:row>
      <xdr:rowOff>0</xdr:rowOff>
    </xdr:from>
    <xdr:to>
      <xdr:col>9</xdr:col>
      <xdr:colOff>342900</xdr:colOff>
      <xdr:row>259</xdr:row>
      <xdr:rowOff>0</xdr:rowOff>
    </xdr:to>
    <xdr:sp macro="" textlink="">
      <xdr:nvSpPr>
        <xdr:cNvPr id="5352" name="Rectangle 6"/>
        <xdr:cNvSpPr>
          <a:spLocks noChangeArrowheads="1"/>
        </xdr:cNvSpPr>
      </xdr:nvSpPr>
      <xdr:spPr bwMode="auto">
        <a:xfrm>
          <a:off x="7879080" y="301599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255</xdr:row>
      <xdr:rowOff>0</xdr:rowOff>
    </xdr:from>
    <xdr:to>
      <xdr:col>9</xdr:col>
      <xdr:colOff>342900</xdr:colOff>
      <xdr:row>259</xdr:row>
      <xdr:rowOff>0</xdr:rowOff>
    </xdr:to>
    <xdr:sp macro="" textlink="">
      <xdr:nvSpPr>
        <xdr:cNvPr id="5353" name="Rectangle 6"/>
        <xdr:cNvSpPr>
          <a:spLocks noChangeArrowheads="1"/>
        </xdr:cNvSpPr>
      </xdr:nvSpPr>
      <xdr:spPr bwMode="auto">
        <a:xfrm>
          <a:off x="7879080" y="301599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288</xdr:row>
      <xdr:rowOff>0</xdr:rowOff>
    </xdr:from>
    <xdr:to>
      <xdr:col>9</xdr:col>
      <xdr:colOff>342900</xdr:colOff>
      <xdr:row>292</xdr:row>
      <xdr:rowOff>0</xdr:rowOff>
    </xdr:to>
    <xdr:sp macro="" textlink="">
      <xdr:nvSpPr>
        <xdr:cNvPr id="5354" name="Rectangle 6"/>
        <xdr:cNvSpPr>
          <a:spLocks noChangeArrowheads="1"/>
        </xdr:cNvSpPr>
      </xdr:nvSpPr>
      <xdr:spPr bwMode="auto">
        <a:xfrm>
          <a:off x="7879080" y="341680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323</xdr:row>
      <xdr:rowOff>0</xdr:rowOff>
    </xdr:from>
    <xdr:to>
      <xdr:col>9</xdr:col>
      <xdr:colOff>342900</xdr:colOff>
      <xdr:row>327</xdr:row>
      <xdr:rowOff>0</xdr:rowOff>
    </xdr:to>
    <xdr:sp macro="" textlink="">
      <xdr:nvSpPr>
        <xdr:cNvPr id="5355" name="Rectangle 6"/>
        <xdr:cNvSpPr>
          <a:spLocks noChangeArrowheads="1"/>
        </xdr:cNvSpPr>
      </xdr:nvSpPr>
      <xdr:spPr bwMode="auto">
        <a:xfrm>
          <a:off x="7879080" y="380542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323</xdr:row>
      <xdr:rowOff>0</xdr:rowOff>
    </xdr:from>
    <xdr:to>
      <xdr:col>9</xdr:col>
      <xdr:colOff>342900</xdr:colOff>
      <xdr:row>327</xdr:row>
      <xdr:rowOff>0</xdr:rowOff>
    </xdr:to>
    <xdr:sp macro="" textlink="">
      <xdr:nvSpPr>
        <xdr:cNvPr id="5356" name="Rectangle 6"/>
        <xdr:cNvSpPr>
          <a:spLocks noChangeArrowheads="1"/>
        </xdr:cNvSpPr>
      </xdr:nvSpPr>
      <xdr:spPr bwMode="auto">
        <a:xfrm>
          <a:off x="7879080" y="380542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323</xdr:row>
      <xdr:rowOff>0</xdr:rowOff>
    </xdr:from>
    <xdr:to>
      <xdr:col>9</xdr:col>
      <xdr:colOff>342900</xdr:colOff>
      <xdr:row>327</xdr:row>
      <xdr:rowOff>0</xdr:rowOff>
    </xdr:to>
    <xdr:sp macro="" textlink="">
      <xdr:nvSpPr>
        <xdr:cNvPr id="5357" name="Rectangle 6"/>
        <xdr:cNvSpPr>
          <a:spLocks noChangeArrowheads="1"/>
        </xdr:cNvSpPr>
      </xdr:nvSpPr>
      <xdr:spPr bwMode="auto">
        <a:xfrm>
          <a:off x="7879080" y="380542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323</xdr:row>
      <xdr:rowOff>0</xdr:rowOff>
    </xdr:from>
    <xdr:to>
      <xdr:col>9</xdr:col>
      <xdr:colOff>342900</xdr:colOff>
      <xdr:row>327</xdr:row>
      <xdr:rowOff>0</xdr:rowOff>
    </xdr:to>
    <xdr:sp macro="" textlink="">
      <xdr:nvSpPr>
        <xdr:cNvPr id="5358" name="Rectangle 6"/>
        <xdr:cNvSpPr>
          <a:spLocks noChangeArrowheads="1"/>
        </xdr:cNvSpPr>
      </xdr:nvSpPr>
      <xdr:spPr bwMode="auto">
        <a:xfrm>
          <a:off x="7879080" y="380542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342900</xdr:colOff>
      <xdr:row>360</xdr:row>
      <xdr:rowOff>0</xdr:rowOff>
    </xdr:to>
    <xdr:sp macro="" textlink="">
      <xdr:nvSpPr>
        <xdr:cNvPr id="5359" name="Rectangle 6"/>
        <xdr:cNvSpPr>
          <a:spLocks noChangeArrowheads="1"/>
        </xdr:cNvSpPr>
      </xdr:nvSpPr>
      <xdr:spPr bwMode="auto">
        <a:xfrm>
          <a:off x="7879080" y="419100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391</xdr:row>
      <xdr:rowOff>0</xdr:rowOff>
    </xdr:from>
    <xdr:to>
      <xdr:col>9</xdr:col>
      <xdr:colOff>342900</xdr:colOff>
      <xdr:row>395</xdr:row>
      <xdr:rowOff>0</xdr:rowOff>
    </xdr:to>
    <xdr:sp macro="" textlink="">
      <xdr:nvSpPr>
        <xdr:cNvPr id="5360" name="Rectangle 6"/>
        <xdr:cNvSpPr>
          <a:spLocks noChangeArrowheads="1"/>
        </xdr:cNvSpPr>
      </xdr:nvSpPr>
      <xdr:spPr bwMode="auto">
        <a:xfrm>
          <a:off x="7879080" y="462534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391</xdr:row>
      <xdr:rowOff>0</xdr:rowOff>
    </xdr:from>
    <xdr:to>
      <xdr:col>9</xdr:col>
      <xdr:colOff>342900</xdr:colOff>
      <xdr:row>395</xdr:row>
      <xdr:rowOff>0</xdr:rowOff>
    </xdr:to>
    <xdr:sp macro="" textlink="">
      <xdr:nvSpPr>
        <xdr:cNvPr id="5361" name="Rectangle 6"/>
        <xdr:cNvSpPr>
          <a:spLocks noChangeArrowheads="1"/>
        </xdr:cNvSpPr>
      </xdr:nvSpPr>
      <xdr:spPr bwMode="auto">
        <a:xfrm>
          <a:off x="7879080" y="462534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391</xdr:row>
      <xdr:rowOff>0</xdr:rowOff>
    </xdr:from>
    <xdr:to>
      <xdr:col>9</xdr:col>
      <xdr:colOff>342900</xdr:colOff>
      <xdr:row>395</xdr:row>
      <xdr:rowOff>0</xdr:rowOff>
    </xdr:to>
    <xdr:sp macro="" textlink="">
      <xdr:nvSpPr>
        <xdr:cNvPr id="5362" name="Rectangle 6"/>
        <xdr:cNvSpPr>
          <a:spLocks noChangeArrowheads="1"/>
        </xdr:cNvSpPr>
      </xdr:nvSpPr>
      <xdr:spPr bwMode="auto">
        <a:xfrm>
          <a:off x="7879080" y="462534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391</xdr:row>
      <xdr:rowOff>0</xdr:rowOff>
    </xdr:from>
    <xdr:to>
      <xdr:col>9</xdr:col>
      <xdr:colOff>342900</xdr:colOff>
      <xdr:row>395</xdr:row>
      <xdr:rowOff>0</xdr:rowOff>
    </xdr:to>
    <xdr:sp macro="" textlink="">
      <xdr:nvSpPr>
        <xdr:cNvPr id="5363" name="Rectangle 6"/>
        <xdr:cNvSpPr>
          <a:spLocks noChangeArrowheads="1"/>
        </xdr:cNvSpPr>
      </xdr:nvSpPr>
      <xdr:spPr bwMode="auto">
        <a:xfrm>
          <a:off x="7879080" y="462534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424</xdr:row>
      <xdr:rowOff>0</xdr:rowOff>
    </xdr:from>
    <xdr:to>
      <xdr:col>9</xdr:col>
      <xdr:colOff>342900</xdr:colOff>
      <xdr:row>428</xdr:row>
      <xdr:rowOff>0</xdr:rowOff>
    </xdr:to>
    <xdr:sp macro="" textlink="">
      <xdr:nvSpPr>
        <xdr:cNvPr id="5364" name="Rectangle 6"/>
        <xdr:cNvSpPr>
          <a:spLocks noChangeArrowheads="1"/>
        </xdr:cNvSpPr>
      </xdr:nvSpPr>
      <xdr:spPr bwMode="auto">
        <a:xfrm>
          <a:off x="7879080" y="500100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459</xdr:row>
      <xdr:rowOff>0</xdr:rowOff>
    </xdr:from>
    <xdr:to>
      <xdr:col>9</xdr:col>
      <xdr:colOff>342900</xdr:colOff>
      <xdr:row>463</xdr:row>
      <xdr:rowOff>0</xdr:rowOff>
    </xdr:to>
    <xdr:sp macro="" textlink="">
      <xdr:nvSpPr>
        <xdr:cNvPr id="5365" name="Rectangle 6"/>
        <xdr:cNvSpPr>
          <a:spLocks noChangeArrowheads="1"/>
        </xdr:cNvSpPr>
      </xdr:nvSpPr>
      <xdr:spPr bwMode="auto">
        <a:xfrm>
          <a:off x="7879080" y="538962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459</xdr:row>
      <xdr:rowOff>0</xdr:rowOff>
    </xdr:from>
    <xdr:to>
      <xdr:col>9</xdr:col>
      <xdr:colOff>342900</xdr:colOff>
      <xdr:row>463</xdr:row>
      <xdr:rowOff>0</xdr:rowOff>
    </xdr:to>
    <xdr:sp macro="" textlink="">
      <xdr:nvSpPr>
        <xdr:cNvPr id="5366" name="Rectangle 6"/>
        <xdr:cNvSpPr>
          <a:spLocks noChangeArrowheads="1"/>
        </xdr:cNvSpPr>
      </xdr:nvSpPr>
      <xdr:spPr bwMode="auto">
        <a:xfrm>
          <a:off x="7879080" y="538962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459</xdr:row>
      <xdr:rowOff>0</xdr:rowOff>
    </xdr:from>
    <xdr:to>
      <xdr:col>9</xdr:col>
      <xdr:colOff>342900</xdr:colOff>
      <xdr:row>463</xdr:row>
      <xdr:rowOff>0</xdr:rowOff>
    </xdr:to>
    <xdr:sp macro="" textlink="">
      <xdr:nvSpPr>
        <xdr:cNvPr id="5367" name="Rectangle 6"/>
        <xdr:cNvSpPr>
          <a:spLocks noChangeArrowheads="1"/>
        </xdr:cNvSpPr>
      </xdr:nvSpPr>
      <xdr:spPr bwMode="auto">
        <a:xfrm>
          <a:off x="7879080" y="538962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459</xdr:row>
      <xdr:rowOff>0</xdr:rowOff>
    </xdr:from>
    <xdr:to>
      <xdr:col>9</xdr:col>
      <xdr:colOff>342900</xdr:colOff>
      <xdr:row>463</xdr:row>
      <xdr:rowOff>0</xdr:rowOff>
    </xdr:to>
    <xdr:sp macro="" textlink="">
      <xdr:nvSpPr>
        <xdr:cNvPr id="5368" name="Rectangle 6"/>
        <xdr:cNvSpPr>
          <a:spLocks noChangeArrowheads="1"/>
        </xdr:cNvSpPr>
      </xdr:nvSpPr>
      <xdr:spPr bwMode="auto">
        <a:xfrm>
          <a:off x="7879080" y="538962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492</xdr:row>
      <xdr:rowOff>0</xdr:rowOff>
    </xdr:from>
    <xdr:to>
      <xdr:col>9</xdr:col>
      <xdr:colOff>342900</xdr:colOff>
      <xdr:row>496</xdr:row>
      <xdr:rowOff>0</xdr:rowOff>
    </xdr:to>
    <xdr:sp macro="" textlink="">
      <xdr:nvSpPr>
        <xdr:cNvPr id="5369" name="Rectangle 6"/>
        <xdr:cNvSpPr>
          <a:spLocks noChangeArrowheads="1"/>
        </xdr:cNvSpPr>
      </xdr:nvSpPr>
      <xdr:spPr bwMode="auto">
        <a:xfrm>
          <a:off x="7879080" y="577519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527</xdr:row>
      <xdr:rowOff>0</xdr:rowOff>
    </xdr:from>
    <xdr:to>
      <xdr:col>9</xdr:col>
      <xdr:colOff>342900</xdr:colOff>
      <xdr:row>531</xdr:row>
      <xdr:rowOff>0</xdr:rowOff>
    </xdr:to>
    <xdr:sp macro="" textlink="">
      <xdr:nvSpPr>
        <xdr:cNvPr id="5370" name="Rectangle 6"/>
        <xdr:cNvSpPr>
          <a:spLocks noChangeArrowheads="1"/>
        </xdr:cNvSpPr>
      </xdr:nvSpPr>
      <xdr:spPr bwMode="auto">
        <a:xfrm>
          <a:off x="7879080" y="617905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527</xdr:row>
      <xdr:rowOff>0</xdr:rowOff>
    </xdr:from>
    <xdr:to>
      <xdr:col>9</xdr:col>
      <xdr:colOff>342900</xdr:colOff>
      <xdr:row>531</xdr:row>
      <xdr:rowOff>0</xdr:rowOff>
    </xdr:to>
    <xdr:sp macro="" textlink="">
      <xdr:nvSpPr>
        <xdr:cNvPr id="5371" name="Rectangle 6"/>
        <xdr:cNvSpPr>
          <a:spLocks noChangeArrowheads="1"/>
        </xdr:cNvSpPr>
      </xdr:nvSpPr>
      <xdr:spPr bwMode="auto">
        <a:xfrm>
          <a:off x="7879080" y="617905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527</xdr:row>
      <xdr:rowOff>0</xdr:rowOff>
    </xdr:from>
    <xdr:to>
      <xdr:col>9</xdr:col>
      <xdr:colOff>342900</xdr:colOff>
      <xdr:row>531</xdr:row>
      <xdr:rowOff>0</xdr:rowOff>
    </xdr:to>
    <xdr:sp macro="" textlink="">
      <xdr:nvSpPr>
        <xdr:cNvPr id="5372" name="Rectangle 6"/>
        <xdr:cNvSpPr>
          <a:spLocks noChangeArrowheads="1"/>
        </xdr:cNvSpPr>
      </xdr:nvSpPr>
      <xdr:spPr bwMode="auto">
        <a:xfrm>
          <a:off x="7879080" y="617905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527</xdr:row>
      <xdr:rowOff>0</xdr:rowOff>
    </xdr:from>
    <xdr:to>
      <xdr:col>9</xdr:col>
      <xdr:colOff>342900</xdr:colOff>
      <xdr:row>531</xdr:row>
      <xdr:rowOff>0</xdr:rowOff>
    </xdr:to>
    <xdr:sp macro="" textlink="">
      <xdr:nvSpPr>
        <xdr:cNvPr id="5373" name="Rectangle 6"/>
        <xdr:cNvSpPr>
          <a:spLocks noChangeArrowheads="1"/>
        </xdr:cNvSpPr>
      </xdr:nvSpPr>
      <xdr:spPr bwMode="auto">
        <a:xfrm>
          <a:off x="7879080" y="6179058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560</xdr:row>
      <xdr:rowOff>0</xdr:rowOff>
    </xdr:from>
    <xdr:to>
      <xdr:col>9</xdr:col>
      <xdr:colOff>342900</xdr:colOff>
      <xdr:row>564</xdr:row>
      <xdr:rowOff>0</xdr:rowOff>
    </xdr:to>
    <xdr:sp macro="" textlink="">
      <xdr:nvSpPr>
        <xdr:cNvPr id="5374" name="Rectangle 6"/>
        <xdr:cNvSpPr>
          <a:spLocks noChangeArrowheads="1"/>
        </xdr:cNvSpPr>
      </xdr:nvSpPr>
      <xdr:spPr bwMode="auto">
        <a:xfrm>
          <a:off x="7879080" y="657987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595</xdr:row>
      <xdr:rowOff>0</xdr:rowOff>
    </xdr:from>
    <xdr:to>
      <xdr:col>9</xdr:col>
      <xdr:colOff>342900</xdr:colOff>
      <xdr:row>599</xdr:row>
      <xdr:rowOff>0</xdr:rowOff>
    </xdr:to>
    <xdr:sp macro="" textlink="">
      <xdr:nvSpPr>
        <xdr:cNvPr id="5375" name="Rectangle 6"/>
        <xdr:cNvSpPr>
          <a:spLocks noChangeArrowheads="1"/>
        </xdr:cNvSpPr>
      </xdr:nvSpPr>
      <xdr:spPr bwMode="auto">
        <a:xfrm>
          <a:off x="7879080" y="69837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595</xdr:row>
      <xdr:rowOff>0</xdr:rowOff>
    </xdr:from>
    <xdr:to>
      <xdr:col>9</xdr:col>
      <xdr:colOff>342900</xdr:colOff>
      <xdr:row>599</xdr:row>
      <xdr:rowOff>0</xdr:rowOff>
    </xdr:to>
    <xdr:sp macro="" textlink="">
      <xdr:nvSpPr>
        <xdr:cNvPr id="5376" name="Rectangle 6"/>
        <xdr:cNvSpPr>
          <a:spLocks noChangeArrowheads="1"/>
        </xdr:cNvSpPr>
      </xdr:nvSpPr>
      <xdr:spPr bwMode="auto">
        <a:xfrm>
          <a:off x="7879080" y="69837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595</xdr:row>
      <xdr:rowOff>0</xdr:rowOff>
    </xdr:from>
    <xdr:to>
      <xdr:col>9</xdr:col>
      <xdr:colOff>342900</xdr:colOff>
      <xdr:row>599</xdr:row>
      <xdr:rowOff>0</xdr:rowOff>
    </xdr:to>
    <xdr:sp macro="" textlink="">
      <xdr:nvSpPr>
        <xdr:cNvPr id="5377" name="Rectangle 6"/>
        <xdr:cNvSpPr>
          <a:spLocks noChangeArrowheads="1"/>
        </xdr:cNvSpPr>
      </xdr:nvSpPr>
      <xdr:spPr bwMode="auto">
        <a:xfrm>
          <a:off x="7879080" y="69837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595</xdr:row>
      <xdr:rowOff>0</xdr:rowOff>
    </xdr:from>
    <xdr:to>
      <xdr:col>9</xdr:col>
      <xdr:colOff>342900</xdr:colOff>
      <xdr:row>599</xdr:row>
      <xdr:rowOff>0</xdr:rowOff>
    </xdr:to>
    <xdr:sp macro="" textlink="">
      <xdr:nvSpPr>
        <xdr:cNvPr id="5378" name="Rectangle 6"/>
        <xdr:cNvSpPr>
          <a:spLocks noChangeArrowheads="1"/>
        </xdr:cNvSpPr>
      </xdr:nvSpPr>
      <xdr:spPr bwMode="auto">
        <a:xfrm>
          <a:off x="7879080" y="6983730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628</xdr:row>
      <xdr:rowOff>0</xdr:rowOff>
    </xdr:from>
    <xdr:to>
      <xdr:col>9</xdr:col>
      <xdr:colOff>342900</xdr:colOff>
      <xdr:row>632</xdr:row>
      <xdr:rowOff>0</xdr:rowOff>
    </xdr:to>
    <xdr:sp macro="" textlink="">
      <xdr:nvSpPr>
        <xdr:cNvPr id="5379" name="Rectangle 6"/>
        <xdr:cNvSpPr>
          <a:spLocks noChangeArrowheads="1"/>
        </xdr:cNvSpPr>
      </xdr:nvSpPr>
      <xdr:spPr bwMode="auto">
        <a:xfrm>
          <a:off x="7879080" y="733882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663</xdr:row>
      <xdr:rowOff>0</xdr:rowOff>
    </xdr:from>
    <xdr:to>
      <xdr:col>9</xdr:col>
      <xdr:colOff>342900</xdr:colOff>
      <xdr:row>667</xdr:row>
      <xdr:rowOff>15240</xdr:rowOff>
    </xdr:to>
    <xdr:sp macro="" textlink="">
      <xdr:nvSpPr>
        <xdr:cNvPr id="5380" name="Rectangle 6"/>
        <xdr:cNvSpPr>
          <a:spLocks noChangeArrowheads="1"/>
        </xdr:cNvSpPr>
      </xdr:nvSpPr>
      <xdr:spPr bwMode="auto">
        <a:xfrm>
          <a:off x="7879080" y="77274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663</xdr:row>
      <xdr:rowOff>0</xdr:rowOff>
    </xdr:from>
    <xdr:to>
      <xdr:col>9</xdr:col>
      <xdr:colOff>342900</xdr:colOff>
      <xdr:row>667</xdr:row>
      <xdr:rowOff>15240</xdr:rowOff>
    </xdr:to>
    <xdr:sp macro="" textlink="">
      <xdr:nvSpPr>
        <xdr:cNvPr id="5381" name="Rectangle 6"/>
        <xdr:cNvSpPr>
          <a:spLocks noChangeArrowheads="1"/>
        </xdr:cNvSpPr>
      </xdr:nvSpPr>
      <xdr:spPr bwMode="auto">
        <a:xfrm>
          <a:off x="7879080" y="77274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663</xdr:row>
      <xdr:rowOff>0</xdr:rowOff>
    </xdr:from>
    <xdr:to>
      <xdr:col>9</xdr:col>
      <xdr:colOff>342900</xdr:colOff>
      <xdr:row>667</xdr:row>
      <xdr:rowOff>15240</xdr:rowOff>
    </xdr:to>
    <xdr:sp macro="" textlink="">
      <xdr:nvSpPr>
        <xdr:cNvPr id="5382" name="Rectangle 6"/>
        <xdr:cNvSpPr>
          <a:spLocks noChangeArrowheads="1"/>
        </xdr:cNvSpPr>
      </xdr:nvSpPr>
      <xdr:spPr bwMode="auto">
        <a:xfrm>
          <a:off x="7879080" y="77274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663</xdr:row>
      <xdr:rowOff>0</xdr:rowOff>
    </xdr:from>
    <xdr:to>
      <xdr:col>9</xdr:col>
      <xdr:colOff>342900</xdr:colOff>
      <xdr:row>667</xdr:row>
      <xdr:rowOff>15240</xdr:rowOff>
    </xdr:to>
    <xdr:sp macro="" textlink="">
      <xdr:nvSpPr>
        <xdr:cNvPr id="5383" name="Rectangle 6"/>
        <xdr:cNvSpPr>
          <a:spLocks noChangeArrowheads="1"/>
        </xdr:cNvSpPr>
      </xdr:nvSpPr>
      <xdr:spPr bwMode="auto">
        <a:xfrm>
          <a:off x="7879080" y="7727442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342900</xdr:colOff>
      <xdr:row>701</xdr:row>
      <xdr:rowOff>114300</xdr:rowOff>
    </xdr:to>
    <xdr:sp macro="" textlink="">
      <xdr:nvSpPr>
        <xdr:cNvPr id="5384" name="Rectangle 6"/>
        <xdr:cNvSpPr>
          <a:spLocks noChangeArrowheads="1"/>
        </xdr:cNvSpPr>
      </xdr:nvSpPr>
      <xdr:spPr bwMode="auto">
        <a:xfrm>
          <a:off x="7879080" y="816330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342900</xdr:colOff>
      <xdr:row>701</xdr:row>
      <xdr:rowOff>114300</xdr:rowOff>
    </xdr:to>
    <xdr:sp macro="" textlink="">
      <xdr:nvSpPr>
        <xdr:cNvPr id="5385" name="Rectangle 6"/>
        <xdr:cNvSpPr>
          <a:spLocks noChangeArrowheads="1"/>
        </xdr:cNvSpPr>
      </xdr:nvSpPr>
      <xdr:spPr bwMode="auto">
        <a:xfrm>
          <a:off x="7879080" y="816330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342900</xdr:colOff>
      <xdr:row>701</xdr:row>
      <xdr:rowOff>114300</xdr:rowOff>
    </xdr:to>
    <xdr:sp macro="" textlink="">
      <xdr:nvSpPr>
        <xdr:cNvPr id="5386" name="Rectangle 6"/>
        <xdr:cNvSpPr>
          <a:spLocks noChangeArrowheads="1"/>
        </xdr:cNvSpPr>
      </xdr:nvSpPr>
      <xdr:spPr bwMode="auto">
        <a:xfrm>
          <a:off x="7879080" y="816330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699</xdr:row>
      <xdr:rowOff>0</xdr:rowOff>
    </xdr:from>
    <xdr:to>
      <xdr:col>9</xdr:col>
      <xdr:colOff>342900</xdr:colOff>
      <xdr:row>701</xdr:row>
      <xdr:rowOff>114300</xdr:rowOff>
    </xdr:to>
    <xdr:sp macro="" textlink="">
      <xdr:nvSpPr>
        <xdr:cNvPr id="5387" name="Rectangle 6"/>
        <xdr:cNvSpPr>
          <a:spLocks noChangeArrowheads="1"/>
        </xdr:cNvSpPr>
      </xdr:nvSpPr>
      <xdr:spPr bwMode="auto">
        <a:xfrm>
          <a:off x="7879080" y="81633060"/>
          <a:ext cx="342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5:K698"/>
  <sheetViews>
    <sheetView tabSelected="1" view="pageBreakPreview" topLeftCell="A16" zoomScale="120" zoomScaleNormal="100" zoomScaleSheetLayoutView="120" workbookViewId="0">
      <selection activeCell="E3" sqref="E3"/>
    </sheetView>
  </sheetViews>
  <sheetFormatPr baseColWidth="10" defaultColWidth="11.44140625" defaultRowHeight="13.2" x14ac:dyDescent="0.3"/>
  <cols>
    <col min="1" max="1" width="0.109375" style="1" customWidth="1"/>
    <col min="2" max="3" width="4.6640625" style="1" customWidth="1"/>
    <col min="4" max="4" width="3.6640625" style="48" customWidth="1"/>
    <col min="5" max="5" width="64.6640625" style="1" customWidth="1"/>
    <col min="6" max="7" width="13.6640625" style="2" customWidth="1"/>
    <col min="8" max="8" width="7.88671875" style="3" customWidth="1"/>
    <col min="9" max="9" width="1.88671875" style="1" customWidth="1"/>
    <col min="10" max="16384" width="11.44140625" style="1"/>
  </cols>
  <sheetData>
    <row r="15" ht="14.25" customHeight="1" x14ac:dyDescent="0.3"/>
    <row r="18" spans="4:11" ht="14.4" x14ac:dyDescent="0.3">
      <c r="D18" s="55" t="s">
        <v>0</v>
      </c>
      <c r="E18" s="55"/>
      <c r="F18" s="55"/>
      <c r="G18" s="55"/>
      <c r="H18" s="55"/>
    </row>
    <row r="19" spans="4:11" ht="6" customHeight="1" x14ac:dyDescent="0.3"/>
    <row r="20" spans="4:11" ht="12" customHeight="1" x14ac:dyDescent="0.3">
      <c r="D20" s="53" t="s">
        <v>1</v>
      </c>
      <c r="E20" s="54"/>
      <c r="F20" s="11" t="s">
        <v>36</v>
      </c>
      <c r="G20" s="12" t="s">
        <v>2</v>
      </c>
      <c r="H20" s="13" t="s">
        <v>3</v>
      </c>
    </row>
    <row r="21" spans="4:11" ht="4.8" customHeight="1" x14ac:dyDescent="0.3">
      <c r="D21" s="49"/>
      <c r="E21" s="44"/>
      <c r="F21" s="45"/>
      <c r="G21" s="46"/>
      <c r="H21" s="47"/>
    </row>
    <row r="22" spans="4:11" ht="12" customHeight="1" x14ac:dyDescent="0.3">
      <c r="D22" s="50" t="s">
        <v>37</v>
      </c>
      <c r="E22" s="14"/>
      <c r="F22" s="15"/>
      <c r="G22" s="21"/>
      <c r="H22" s="20"/>
    </row>
    <row r="23" spans="4:11" ht="12" customHeight="1" x14ac:dyDescent="0.3">
      <c r="D23" s="50"/>
      <c r="E23" s="14" t="s">
        <v>4</v>
      </c>
      <c r="F23" s="18"/>
      <c r="G23" s="19">
        <v>94302786.689999998</v>
      </c>
      <c r="H23" s="20">
        <f>+G23/G48</f>
        <v>0.43296995851489162</v>
      </c>
    </row>
    <row r="24" spans="4:11" ht="12" customHeight="1" x14ac:dyDescent="0.3">
      <c r="D24" s="50"/>
      <c r="E24" s="14" t="s">
        <v>5</v>
      </c>
      <c r="F24" s="15"/>
      <c r="G24" s="4">
        <v>41366817.520000003</v>
      </c>
      <c r="H24" s="20">
        <f>+G24/G48</f>
        <v>0.18992640508498101</v>
      </c>
    </row>
    <row r="25" spans="4:11" ht="12" customHeight="1" x14ac:dyDescent="0.3">
      <c r="D25" s="50"/>
      <c r="E25" s="14" t="s">
        <v>38</v>
      </c>
      <c r="F25" s="15"/>
      <c r="G25" s="22"/>
      <c r="H25" s="20"/>
    </row>
    <row r="26" spans="4:11" ht="12" customHeight="1" x14ac:dyDescent="0.3">
      <c r="D26" s="50"/>
      <c r="E26" s="23" t="s">
        <v>34</v>
      </c>
      <c r="G26" s="4">
        <v>1370320.3</v>
      </c>
      <c r="H26" s="20">
        <f>+G26/G48</f>
        <v>6.2915163408000232E-3</v>
      </c>
    </row>
    <row r="27" spans="4:11" ht="12" hidden="1" customHeight="1" x14ac:dyDescent="0.3">
      <c r="D27" s="50"/>
      <c r="E27" s="23" t="s">
        <v>8</v>
      </c>
      <c r="F27" s="21">
        <v>0</v>
      </c>
      <c r="G27" s="24"/>
      <c r="H27" s="43"/>
    </row>
    <row r="28" spans="4:11" ht="12" hidden="1" customHeight="1" x14ac:dyDescent="0.3">
      <c r="D28" s="50"/>
      <c r="E28" s="23" t="s">
        <v>9</v>
      </c>
      <c r="F28" s="25">
        <v>0</v>
      </c>
      <c r="G28" s="21">
        <f>SUM(F26:F28)</f>
        <v>0</v>
      </c>
    </row>
    <row r="29" spans="4:11" ht="12" customHeight="1" x14ac:dyDescent="0.3">
      <c r="D29" s="50"/>
      <c r="E29" s="14" t="s">
        <v>39</v>
      </c>
      <c r="F29" s="10"/>
      <c r="G29" s="22"/>
      <c r="H29" s="20"/>
      <c r="K29" s="1">
        <f>43.3+18.99+0.63+4.7+32.38</f>
        <v>100</v>
      </c>
    </row>
    <row r="30" spans="4:11" ht="12" customHeight="1" x14ac:dyDescent="0.3">
      <c r="D30" s="50"/>
      <c r="E30" s="23" t="s">
        <v>33</v>
      </c>
      <c r="F30" s="10">
        <v>14379.3</v>
      </c>
      <c r="G30" s="22"/>
      <c r="H30" s="20"/>
      <c r="K30" s="1">
        <f>67.62+32.38</f>
        <v>100</v>
      </c>
    </row>
    <row r="31" spans="4:11" ht="12" customHeight="1" x14ac:dyDescent="0.3">
      <c r="D31" s="50"/>
      <c r="E31" s="23" t="s">
        <v>6</v>
      </c>
      <c r="F31" s="21">
        <v>2951039.35</v>
      </c>
      <c r="G31" s="22"/>
      <c r="H31" s="20"/>
    </row>
    <row r="32" spans="4:11" ht="12" customHeight="1" x14ac:dyDescent="0.3">
      <c r="D32" s="50"/>
      <c r="E32" s="23" t="s">
        <v>7</v>
      </c>
      <c r="F32" s="21">
        <v>2844673.22</v>
      </c>
      <c r="G32" s="22"/>
      <c r="H32" s="20"/>
    </row>
    <row r="33" spans="4:8" ht="12" customHeight="1" x14ac:dyDescent="0.3">
      <c r="D33" s="50"/>
      <c r="E33" s="23" t="s">
        <v>31</v>
      </c>
      <c r="F33" s="21">
        <v>4211485.74</v>
      </c>
      <c r="G33" s="22"/>
      <c r="H33" s="20"/>
    </row>
    <row r="34" spans="4:8" ht="12" customHeight="1" x14ac:dyDescent="0.3">
      <c r="D34" s="50"/>
      <c r="E34" s="23" t="s">
        <v>32</v>
      </c>
      <c r="F34" s="25">
        <v>228614.84</v>
      </c>
      <c r="G34" s="5">
        <f>SUM(F30:F35)</f>
        <v>10250192.449999999</v>
      </c>
      <c r="H34" s="26">
        <f>+G34/G48-0.0001</f>
        <v>4.6961444901254118E-2</v>
      </c>
    </row>
    <row r="35" spans="4:8" ht="12" hidden="1" customHeight="1" x14ac:dyDescent="0.3">
      <c r="D35" s="50"/>
      <c r="E35" s="23" t="s">
        <v>40</v>
      </c>
      <c r="F35" s="25">
        <v>0</v>
      </c>
    </row>
    <row r="36" spans="4:8" ht="2.4" customHeight="1" x14ac:dyDescent="0.3">
      <c r="D36" s="50"/>
      <c r="E36" s="14"/>
      <c r="F36" s="15"/>
      <c r="G36" s="21"/>
      <c r="H36" s="20"/>
    </row>
    <row r="37" spans="4:8" ht="12" customHeight="1" x14ac:dyDescent="0.3">
      <c r="D37" s="50"/>
      <c r="E37" s="27" t="s">
        <v>41</v>
      </c>
      <c r="F37" s="15"/>
      <c r="G37" s="28">
        <f>SUM(G23:G34)</f>
        <v>147290116.96000001</v>
      </c>
      <c r="H37" s="29">
        <f>+G37/G48</f>
        <v>0.67624932484192679</v>
      </c>
    </row>
    <row r="38" spans="4:8" ht="6" customHeight="1" x14ac:dyDescent="0.3">
      <c r="D38" s="50"/>
      <c r="E38" s="27"/>
      <c r="F38" s="15"/>
      <c r="G38" s="30"/>
      <c r="H38" s="31"/>
    </row>
    <row r="39" spans="4:8" ht="12" hidden="1" customHeight="1" x14ac:dyDescent="0.3">
      <c r="D39" s="50" t="s">
        <v>35</v>
      </c>
      <c r="E39" s="32"/>
      <c r="F39" s="21"/>
      <c r="G39" s="15"/>
      <c r="H39" s="20"/>
    </row>
    <row r="40" spans="4:8" ht="12" hidden="1" customHeight="1" x14ac:dyDescent="0.3">
      <c r="D40" s="50"/>
      <c r="E40" s="33" t="s">
        <v>42</v>
      </c>
      <c r="F40" s="34"/>
      <c r="G40" s="10">
        <v>0</v>
      </c>
      <c r="H40" s="35">
        <f>+G40/G48</f>
        <v>0</v>
      </c>
    </row>
    <row r="41" spans="4:8" ht="6" customHeight="1" x14ac:dyDescent="0.3">
      <c r="D41" s="50"/>
      <c r="E41" s="27"/>
      <c r="F41" s="15"/>
      <c r="G41" s="30"/>
      <c r="H41" s="31"/>
    </row>
    <row r="42" spans="4:8" ht="12" customHeight="1" x14ac:dyDescent="0.3">
      <c r="D42" s="50" t="s">
        <v>10</v>
      </c>
      <c r="E42" s="14"/>
      <c r="F42" s="15"/>
      <c r="G42" s="21"/>
      <c r="H42" s="20"/>
    </row>
    <row r="43" spans="4:8" ht="12" customHeight="1" x14ac:dyDescent="0.3">
      <c r="D43" s="50"/>
      <c r="E43" s="14" t="s">
        <v>11</v>
      </c>
      <c r="F43" s="10">
        <v>15907624.619999999</v>
      </c>
      <c r="G43" s="21"/>
      <c r="H43" s="20"/>
    </row>
    <row r="44" spans="4:8" ht="12" customHeight="1" x14ac:dyDescent="0.3">
      <c r="D44" s="50"/>
      <c r="E44" s="14" t="s">
        <v>12</v>
      </c>
      <c r="F44" s="25">
        <v>54606715.369999997</v>
      </c>
      <c r="G44" s="25">
        <f>SUM(F43:F44)</f>
        <v>70514339.989999995</v>
      </c>
      <c r="H44" s="36">
        <f>+G44/G48</f>
        <v>0.32375067515807326</v>
      </c>
    </row>
    <row r="45" spans="4:8" ht="2.4" customHeight="1" x14ac:dyDescent="0.3">
      <c r="D45" s="50"/>
      <c r="E45" s="32"/>
      <c r="F45" s="21"/>
      <c r="G45" s="15"/>
      <c r="H45" s="20"/>
    </row>
    <row r="46" spans="4:8" ht="12" customHeight="1" x14ac:dyDescent="0.3">
      <c r="D46" s="50"/>
      <c r="E46" s="27" t="s">
        <v>41</v>
      </c>
      <c r="F46" s="15"/>
      <c r="G46" s="28">
        <f>SUM(G41:G44)</f>
        <v>70514339.989999995</v>
      </c>
      <c r="H46" s="29">
        <f>+H40+H44</f>
        <v>0.32375067515807326</v>
      </c>
    </row>
    <row r="47" spans="4:8" ht="2.4" customHeight="1" x14ac:dyDescent="0.3">
      <c r="D47" s="50"/>
      <c r="E47" s="32"/>
      <c r="F47" s="21"/>
      <c r="G47" s="15"/>
      <c r="H47" s="20"/>
    </row>
    <row r="48" spans="4:8" ht="12.6" customHeight="1" thickBot="1" x14ac:dyDescent="0.35">
      <c r="D48" s="50"/>
      <c r="E48" s="37" t="s">
        <v>13</v>
      </c>
      <c r="F48" s="21"/>
      <c r="G48" s="38">
        <f>+G37+G46</f>
        <v>217804456.94999999</v>
      </c>
      <c r="H48" s="39">
        <f>+H37+H46</f>
        <v>1</v>
      </c>
    </row>
    <row r="49" spans="4:11" ht="6" customHeight="1" thickTop="1" x14ac:dyDescent="0.3">
      <c r="D49" s="51"/>
      <c r="E49" s="40"/>
      <c r="F49" s="41"/>
      <c r="G49" s="41"/>
      <c r="H49" s="36"/>
    </row>
    <row r="50" spans="4:11" x14ac:dyDescent="0.3">
      <c r="D50" s="52"/>
      <c r="E50" s="6"/>
      <c r="F50" s="7"/>
      <c r="G50" s="7"/>
      <c r="H50" s="8"/>
    </row>
    <row r="51" spans="4:11" x14ac:dyDescent="0.3">
      <c r="D51" s="52"/>
      <c r="E51" s="6"/>
      <c r="F51" s="7"/>
      <c r="G51" s="7"/>
      <c r="H51" s="8"/>
    </row>
    <row r="52" spans="4:11" x14ac:dyDescent="0.3">
      <c r="D52" s="52"/>
      <c r="E52" s="6"/>
      <c r="F52" s="7"/>
      <c r="G52" s="7"/>
      <c r="H52" s="8"/>
    </row>
    <row r="53" spans="4:11" ht="14.4" x14ac:dyDescent="0.3">
      <c r="D53" s="55" t="s">
        <v>14</v>
      </c>
      <c r="E53" s="55"/>
      <c r="F53" s="55"/>
      <c r="G53" s="55"/>
      <c r="H53" s="55"/>
    </row>
    <row r="54" spans="4:11" ht="6" customHeight="1" x14ac:dyDescent="0.3"/>
    <row r="55" spans="4:11" ht="12" customHeight="1" x14ac:dyDescent="0.3">
      <c r="D55" s="53" t="s">
        <v>1</v>
      </c>
      <c r="E55" s="54"/>
      <c r="F55" s="11" t="s">
        <v>36</v>
      </c>
      <c r="G55" s="12" t="s">
        <v>2</v>
      </c>
      <c r="H55" s="13" t="s">
        <v>3</v>
      </c>
    </row>
    <row r="56" spans="4:11" ht="4.8" customHeight="1" x14ac:dyDescent="0.3">
      <c r="D56" s="49"/>
      <c r="E56" s="44"/>
      <c r="F56" s="45"/>
      <c r="G56" s="46"/>
      <c r="H56" s="47"/>
    </row>
    <row r="57" spans="4:11" ht="12" customHeight="1" x14ac:dyDescent="0.3">
      <c r="D57" s="50" t="s">
        <v>37</v>
      </c>
      <c r="E57" s="14"/>
      <c r="F57" s="15"/>
      <c r="G57" s="16"/>
      <c r="H57" s="17"/>
    </row>
    <row r="58" spans="4:11" ht="12" customHeight="1" x14ac:dyDescent="0.3">
      <c r="D58" s="50"/>
      <c r="E58" s="14" t="s">
        <v>4</v>
      </c>
      <c r="F58" s="18"/>
      <c r="G58" s="19">
        <v>8620800.2599999998</v>
      </c>
      <c r="H58" s="20">
        <f>+G58/G83</f>
        <v>0.31061908331093224</v>
      </c>
    </row>
    <row r="59" spans="4:11" ht="12" customHeight="1" x14ac:dyDescent="0.3">
      <c r="D59" s="50"/>
      <c r="E59" s="14" t="s">
        <v>5</v>
      </c>
      <c r="F59" s="15"/>
      <c r="G59" s="4">
        <v>3896155.89</v>
      </c>
      <c r="H59" s="20">
        <f>+G59/G83</f>
        <v>0.14038376188851515</v>
      </c>
    </row>
    <row r="60" spans="4:11" ht="12" customHeight="1" x14ac:dyDescent="0.3">
      <c r="D60" s="50"/>
      <c r="E60" s="14" t="s">
        <v>38</v>
      </c>
      <c r="F60" s="15"/>
      <c r="G60" s="22"/>
      <c r="H60" s="20"/>
    </row>
    <row r="61" spans="4:11" ht="12" customHeight="1" x14ac:dyDescent="0.3">
      <c r="D61" s="50"/>
      <c r="E61" s="23" t="s">
        <v>34</v>
      </c>
      <c r="F61" s="10">
        <v>10351.5</v>
      </c>
      <c r="G61" s="21"/>
      <c r="H61" s="20"/>
    </row>
    <row r="62" spans="4:11" ht="12" customHeight="1" x14ac:dyDescent="0.3">
      <c r="D62" s="50"/>
      <c r="E62" s="23" t="s">
        <v>8</v>
      </c>
      <c r="F62" s="25">
        <v>60905.62</v>
      </c>
      <c r="G62" s="21">
        <f>SUM(F61:F63)</f>
        <v>71257.119999999995</v>
      </c>
      <c r="H62" s="20">
        <f>+G62/G83</f>
        <v>2.5674903287664264E-3</v>
      </c>
    </row>
    <row r="63" spans="4:11" ht="12" hidden="1" customHeight="1" x14ac:dyDescent="0.3">
      <c r="D63" s="50"/>
      <c r="E63" s="23" t="s">
        <v>9</v>
      </c>
      <c r="F63" s="25">
        <v>0</v>
      </c>
    </row>
    <row r="64" spans="4:11" ht="12" customHeight="1" x14ac:dyDescent="0.3">
      <c r="D64" s="50"/>
      <c r="E64" s="14" t="s">
        <v>39</v>
      </c>
      <c r="F64" s="10"/>
      <c r="G64" s="22"/>
      <c r="H64" s="20"/>
      <c r="K64" s="1">
        <f>31.06+14.04+0.26+5.17+49.47</f>
        <v>100</v>
      </c>
    </row>
    <row r="65" spans="4:11" ht="12" customHeight="1" x14ac:dyDescent="0.3">
      <c r="D65" s="50"/>
      <c r="E65" s="23" t="s">
        <v>33</v>
      </c>
      <c r="F65" s="10">
        <v>198874.45</v>
      </c>
      <c r="G65" s="22"/>
      <c r="H65" s="20"/>
      <c r="K65" s="1">
        <f>50.53+49.47</f>
        <v>100</v>
      </c>
    </row>
    <row r="66" spans="4:11" ht="12" customHeight="1" x14ac:dyDescent="0.3">
      <c r="D66" s="50"/>
      <c r="E66" s="23" t="s">
        <v>6</v>
      </c>
      <c r="F66" s="21">
        <v>298341.90999999997</v>
      </c>
      <c r="G66" s="22"/>
      <c r="H66" s="20"/>
    </row>
    <row r="67" spans="4:11" ht="12" customHeight="1" x14ac:dyDescent="0.3">
      <c r="D67" s="50"/>
      <c r="E67" s="23" t="s">
        <v>7</v>
      </c>
      <c r="F67" s="21">
        <v>260936.34</v>
      </c>
      <c r="G67" s="22"/>
      <c r="H67" s="20"/>
    </row>
    <row r="68" spans="4:11" ht="12" customHeight="1" x14ac:dyDescent="0.3">
      <c r="D68" s="50"/>
      <c r="E68" s="23" t="s">
        <v>31</v>
      </c>
      <c r="F68" s="21">
        <v>555898.57999999996</v>
      </c>
      <c r="G68" s="22"/>
      <c r="H68" s="20"/>
    </row>
    <row r="69" spans="4:11" ht="12" customHeight="1" x14ac:dyDescent="0.3">
      <c r="D69" s="50"/>
      <c r="E69" s="23" t="s">
        <v>32</v>
      </c>
      <c r="F69" s="21">
        <v>42681.43</v>
      </c>
      <c r="G69" s="22"/>
      <c r="H69" s="20"/>
    </row>
    <row r="70" spans="4:11" ht="12" customHeight="1" x14ac:dyDescent="0.3">
      <c r="D70" s="50"/>
      <c r="E70" s="23" t="s">
        <v>40</v>
      </c>
      <c r="F70" s="25">
        <v>78375</v>
      </c>
      <c r="G70" s="5">
        <f>SUM(F65:F70)</f>
        <v>1435107.7099999997</v>
      </c>
      <c r="H70" s="26">
        <f>+G70/G83</f>
        <v>5.1708870161509934E-2</v>
      </c>
    </row>
    <row r="71" spans="4:11" ht="2.4" customHeight="1" x14ac:dyDescent="0.3">
      <c r="D71" s="50"/>
      <c r="E71" s="14"/>
      <c r="F71" s="15"/>
      <c r="G71" s="21"/>
      <c r="H71" s="20"/>
    </row>
    <row r="72" spans="4:11" ht="12" customHeight="1" x14ac:dyDescent="0.3">
      <c r="D72" s="50"/>
      <c r="E72" s="27" t="s">
        <v>41</v>
      </c>
      <c r="F72" s="15"/>
      <c r="G72" s="28">
        <f>SUM(G58:G70)</f>
        <v>14023320.979999999</v>
      </c>
      <c r="H72" s="29">
        <f>+G72/G83</f>
        <v>0.50527920568972373</v>
      </c>
    </row>
    <row r="73" spans="4:11" ht="6" customHeight="1" x14ac:dyDescent="0.3">
      <c r="D73" s="50"/>
      <c r="E73" s="27"/>
      <c r="F73" s="15"/>
      <c r="G73" s="30"/>
      <c r="H73" s="31"/>
    </row>
    <row r="74" spans="4:11" ht="12" hidden="1" customHeight="1" x14ac:dyDescent="0.3">
      <c r="D74" s="50" t="s">
        <v>35</v>
      </c>
      <c r="E74" s="32"/>
      <c r="F74" s="21"/>
      <c r="G74" s="15"/>
      <c r="H74" s="20"/>
    </row>
    <row r="75" spans="4:11" ht="12" hidden="1" customHeight="1" x14ac:dyDescent="0.3">
      <c r="D75" s="50"/>
      <c r="E75" s="33" t="s">
        <v>42</v>
      </c>
      <c r="F75" s="34"/>
      <c r="G75" s="10">
        <v>0</v>
      </c>
      <c r="H75" s="35">
        <f>+G75/G83</f>
        <v>0</v>
      </c>
    </row>
    <row r="76" spans="4:11" ht="6" customHeight="1" x14ac:dyDescent="0.3">
      <c r="D76" s="50"/>
      <c r="E76" s="27"/>
      <c r="F76" s="15"/>
      <c r="G76" s="30"/>
      <c r="H76" s="31"/>
    </row>
    <row r="77" spans="4:11" ht="12" customHeight="1" x14ac:dyDescent="0.3">
      <c r="D77" s="50" t="s">
        <v>10</v>
      </c>
      <c r="E77" s="14"/>
      <c r="F77" s="15"/>
      <c r="G77" s="21"/>
      <c r="H77" s="20"/>
    </row>
    <row r="78" spans="4:11" ht="12" customHeight="1" x14ac:dyDescent="0.3">
      <c r="D78" s="50"/>
      <c r="E78" s="14" t="s">
        <v>11</v>
      </c>
      <c r="F78" s="10">
        <v>8478263.1899999995</v>
      </c>
      <c r="G78" s="21"/>
      <c r="H78" s="20"/>
    </row>
    <row r="79" spans="4:11" ht="12" customHeight="1" x14ac:dyDescent="0.3">
      <c r="D79" s="50"/>
      <c r="E79" s="14" t="s">
        <v>12</v>
      </c>
      <c r="F79" s="25">
        <v>5252023.78</v>
      </c>
      <c r="G79" s="25">
        <f>SUM(F78:F79)</f>
        <v>13730286.969999999</v>
      </c>
      <c r="H79" s="36">
        <f>+G79/G83</f>
        <v>0.49472079431027638</v>
      </c>
    </row>
    <row r="80" spans="4:11" ht="2.4" customHeight="1" x14ac:dyDescent="0.3">
      <c r="D80" s="50"/>
      <c r="E80" s="32"/>
      <c r="F80" s="21"/>
      <c r="G80" s="15"/>
      <c r="H80" s="20"/>
    </row>
    <row r="81" spans="4:11" ht="12" customHeight="1" x14ac:dyDescent="0.3">
      <c r="D81" s="50"/>
      <c r="E81" s="27" t="s">
        <v>41</v>
      </c>
      <c r="F81" s="15"/>
      <c r="G81" s="28">
        <f>+G75+G79</f>
        <v>13730286.969999999</v>
      </c>
      <c r="H81" s="29">
        <f>+H75+H79</f>
        <v>0.49472079431027638</v>
      </c>
    </row>
    <row r="82" spans="4:11" ht="2.4" customHeight="1" x14ac:dyDescent="0.3">
      <c r="D82" s="50"/>
      <c r="E82" s="32"/>
      <c r="F82" s="21"/>
      <c r="G82" s="15"/>
      <c r="H82" s="20"/>
    </row>
    <row r="83" spans="4:11" ht="12.6" customHeight="1" thickBot="1" x14ac:dyDescent="0.35">
      <c r="D83" s="50"/>
      <c r="E83" s="37" t="s">
        <v>13</v>
      </c>
      <c r="F83" s="21"/>
      <c r="G83" s="38">
        <f>+G72+G81</f>
        <v>27753607.949999996</v>
      </c>
      <c r="H83" s="39">
        <f>+H72+H81</f>
        <v>1</v>
      </c>
    </row>
    <row r="84" spans="4:11" ht="6" customHeight="1" thickTop="1" x14ac:dyDescent="0.3">
      <c r="D84" s="51"/>
      <c r="E84" s="40"/>
      <c r="F84" s="41"/>
      <c r="G84" s="41"/>
      <c r="H84" s="36"/>
    </row>
    <row r="85" spans="4:11" ht="14.4" x14ac:dyDescent="0.3">
      <c r="D85" s="55" t="s">
        <v>15</v>
      </c>
      <c r="E85" s="55"/>
      <c r="F85" s="55"/>
      <c r="G85" s="55"/>
      <c r="H85" s="55"/>
    </row>
    <row r="86" spans="4:11" ht="6" customHeight="1" x14ac:dyDescent="0.3"/>
    <row r="87" spans="4:11" ht="12" customHeight="1" x14ac:dyDescent="0.3">
      <c r="D87" s="53" t="s">
        <v>1</v>
      </c>
      <c r="E87" s="54"/>
      <c r="F87" s="11" t="s">
        <v>36</v>
      </c>
      <c r="G87" s="12" t="s">
        <v>2</v>
      </c>
      <c r="H87" s="13" t="s">
        <v>3</v>
      </c>
    </row>
    <row r="88" spans="4:11" ht="4.8" customHeight="1" x14ac:dyDescent="0.3">
      <c r="D88" s="49"/>
      <c r="E88" s="44"/>
      <c r="F88" s="45"/>
      <c r="G88" s="46"/>
      <c r="H88" s="47"/>
    </row>
    <row r="89" spans="4:11" ht="12" customHeight="1" x14ac:dyDescent="0.3">
      <c r="D89" s="50" t="s">
        <v>37</v>
      </c>
      <c r="E89" s="14"/>
      <c r="F89" s="15"/>
      <c r="G89" s="16"/>
      <c r="H89" s="17"/>
    </row>
    <row r="90" spans="4:11" ht="12" customHeight="1" x14ac:dyDescent="0.3">
      <c r="D90" s="50"/>
      <c r="E90" s="14" t="s">
        <v>4</v>
      </c>
      <c r="F90" s="18"/>
      <c r="G90" s="19">
        <v>5582620.8600000003</v>
      </c>
      <c r="H90" s="20">
        <f>+G90/G115</f>
        <v>0.47893499879810297</v>
      </c>
    </row>
    <row r="91" spans="4:11" ht="12" customHeight="1" x14ac:dyDescent="0.3">
      <c r="D91" s="50"/>
      <c r="E91" s="14" t="s">
        <v>5</v>
      </c>
      <c r="F91" s="15"/>
      <c r="G91" s="4">
        <v>2501528.14</v>
      </c>
      <c r="H91" s="20">
        <f>+G91/G115</f>
        <v>0.2146069752485969</v>
      </c>
    </row>
    <row r="92" spans="4:11" ht="12" customHeight="1" x14ac:dyDescent="0.3">
      <c r="D92" s="50"/>
      <c r="E92" s="14" t="s">
        <v>38</v>
      </c>
      <c r="F92" s="15"/>
      <c r="G92" s="22"/>
      <c r="H92" s="20"/>
    </row>
    <row r="93" spans="4:11" ht="12" customHeight="1" x14ac:dyDescent="0.3">
      <c r="D93" s="50"/>
      <c r="E93" s="23" t="s">
        <v>34</v>
      </c>
      <c r="F93" s="10">
        <v>428.14</v>
      </c>
      <c r="G93" s="21"/>
      <c r="H93" s="20"/>
    </row>
    <row r="94" spans="4:11" ht="12" hidden="1" customHeight="1" x14ac:dyDescent="0.3">
      <c r="D94" s="50"/>
      <c r="E94" s="23" t="s">
        <v>8</v>
      </c>
      <c r="F94" s="21">
        <v>0</v>
      </c>
      <c r="G94" s="24"/>
      <c r="H94" s="43"/>
    </row>
    <row r="95" spans="4:11" ht="12" customHeight="1" x14ac:dyDescent="0.3">
      <c r="D95" s="50"/>
      <c r="E95" s="23" t="s">
        <v>9</v>
      </c>
      <c r="F95" s="25">
        <v>15162.12</v>
      </c>
      <c r="G95" s="21">
        <f>SUM(F93:F95)</f>
        <v>15590.26</v>
      </c>
      <c r="H95" s="20">
        <f>+G95/G115+0.0001</f>
        <v>1.4374938656253496E-3</v>
      </c>
    </row>
    <row r="96" spans="4:11" ht="12" customHeight="1" x14ac:dyDescent="0.3">
      <c r="D96" s="50"/>
      <c r="E96" s="14" t="s">
        <v>39</v>
      </c>
      <c r="F96" s="10"/>
      <c r="G96" s="22"/>
      <c r="H96" s="20"/>
      <c r="K96" s="1">
        <f>47.89+21.46+0.14+6.79+23.72</f>
        <v>100</v>
      </c>
    </row>
    <row r="97" spans="4:11" ht="12" customHeight="1" x14ac:dyDescent="0.3">
      <c r="D97" s="50"/>
      <c r="E97" s="23" t="s">
        <v>33</v>
      </c>
      <c r="F97" s="10">
        <v>311535.34000000003</v>
      </c>
      <c r="G97" s="22"/>
      <c r="H97" s="20"/>
      <c r="K97" s="1">
        <f>76.28+23.72</f>
        <v>100</v>
      </c>
    </row>
    <row r="98" spans="4:11" ht="12" customHeight="1" x14ac:dyDescent="0.3">
      <c r="D98" s="50"/>
      <c r="E98" s="23" t="s">
        <v>6</v>
      </c>
      <c r="F98" s="21">
        <v>89681.51</v>
      </c>
      <c r="G98" s="22"/>
      <c r="H98" s="20"/>
    </row>
    <row r="99" spans="4:11" ht="12" customHeight="1" x14ac:dyDescent="0.3">
      <c r="D99" s="50"/>
      <c r="E99" s="23" t="s">
        <v>7</v>
      </c>
      <c r="F99" s="21">
        <v>77512.759999999995</v>
      </c>
      <c r="G99" s="22"/>
      <c r="H99" s="20"/>
    </row>
    <row r="100" spans="4:11" ht="12" customHeight="1" x14ac:dyDescent="0.3">
      <c r="D100" s="50"/>
      <c r="E100" s="23" t="s">
        <v>31</v>
      </c>
      <c r="F100" s="21">
        <v>284327.8</v>
      </c>
      <c r="G100" s="22"/>
      <c r="H100" s="20"/>
    </row>
    <row r="101" spans="4:11" ht="12" customHeight="1" x14ac:dyDescent="0.3">
      <c r="D101" s="50"/>
      <c r="E101" s="23" t="s">
        <v>32</v>
      </c>
      <c r="F101" s="25">
        <v>28778.43</v>
      </c>
      <c r="G101" s="5">
        <f>SUM(F97:F102)</f>
        <v>791835.84000000008</v>
      </c>
      <c r="H101" s="26">
        <f>+G101/G115</f>
        <v>6.7931874040734141E-2</v>
      </c>
    </row>
    <row r="102" spans="4:11" ht="12" hidden="1" customHeight="1" x14ac:dyDescent="0.3">
      <c r="D102" s="50"/>
      <c r="E102" s="23" t="s">
        <v>40</v>
      </c>
      <c r="F102" s="25">
        <v>0</v>
      </c>
    </row>
    <row r="103" spans="4:11" ht="2.4" customHeight="1" x14ac:dyDescent="0.3">
      <c r="D103" s="50"/>
      <c r="E103" s="14"/>
      <c r="F103" s="15"/>
      <c r="G103" s="21"/>
      <c r="H103" s="20"/>
    </row>
    <row r="104" spans="4:11" ht="12" customHeight="1" x14ac:dyDescent="0.3">
      <c r="D104" s="50"/>
      <c r="E104" s="27" t="s">
        <v>41</v>
      </c>
      <c r="F104" s="15"/>
      <c r="G104" s="28">
        <f>SUM(G90:G101)</f>
        <v>8891575.0999999996</v>
      </c>
      <c r="H104" s="29">
        <f>+G104/G115</f>
        <v>0.76281134195305933</v>
      </c>
    </row>
    <row r="105" spans="4:11" ht="6" customHeight="1" x14ac:dyDescent="0.3">
      <c r="D105" s="50"/>
      <c r="E105" s="27"/>
      <c r="F105" s="15"/>
      <c r="G105" s="30"/>
      <c r="H105" s="31"/>
    </row>
    <row r="106" spans="4:11" ht="12" hidden="1" customHeight="1" x14ac:dyDescent="0.3">
      <c r="D106" s="50" t="s">
        <v>35</v>
      </c>
      <c r="E106" s="32"/>
      <c r="F106" s="21"/>
      <c r="G106" s="15"/>
      <c r="H106" s="20"/>
    </row>
    <row r="107" spans="4:11" ht="12" hidden="1" customHeight="1" x14ac:dyDescent="0.3">
      <c r="D107" s="50"/>
      <c r="E107" s="33" t="s">
        <v>42</v>
      </c>
      <c r="F107" s="34"/>
      <c r="G107" s="10">
        <v>0</v>
      </c>
      <c r="H107" s="35">
        <f>+G107/G115</f>
        <v>0</v>
      </c>
    </row>
    <row r="108" spans="4:11" ht="6" customHeight="1" x14ac:dyDescent="0.3">
      <c r="D108" s="50"/>
      <c r="E108" s="27"/>
      <c r="F108" s="15"/>
      <c r="G108" s="30"/>
      <c r="H108" s="31"/>
    </row>
    <row r="109" spans="4:11" ht="12" customHeight="1" x14ac:dyDescent="0.3">
      <c r="D109" s="50" t="s">
        <v>10</v>
      </c>
      <c r="E109" s="14"/>
      <c r="F109" s="15"/>
      <c r="G109" s="21"/>
      <c r="H109" s="20"/>
    </row>
    <row r="110" spans="4:11" ht="12" customHeight="1" x14ac:dyDescent="0.3">
      <c r="D110" s="50"/>
      <c r="E110" s="14" t="s">
        <v>11</v>
      </c>
      <c r="F110" s="10">
        <v>1158063.6599999999</v>
      </c>
      <c r="G110" s="21"/>
      <c r="H110" s="20"/>
    </row>
    <row r="111" spans="4:11" ht="12" customHeight="1" x14ac:dyDescent="0.3">
      <c r="D111" s="50"/>
      <c r="E111" s="14" t="s">
        <v>12</v>
      </c>
      <c r="F111" s="25">
        <v>1606683.86</v>
      </c>
      <c r="G111" s="25">
        <f>SUM(F110:F111)</f>
        <v>2764747.52</v>
      </c>
      <c r="H111" s="36">
        <f>+G111/G115</f>
        <v>0.23718865804694073</v>
      </c>
    </row>
    <row r="112" spans="4:11" ht="2.4" customHeight="1" x14ac:dyDescent="0.3">
      <c r="D112" s="50"/>
      <c r="E112" s="32"/>
      <c r="F112" s="21"/>
      <c r="G112" s="15"/>
      <c r="H112" s="20"/>
    </row>
    <row r="113" spans="4:8" ht="12" customHeight="1" x14ac:dyDescent="0.3">
      <c r="D113" s="50"/>
      <c r="E113" s="27" t="s">
        <v>41</v>
      </c>
      <c r="F113" s="15"/>
      <c r="G113" s="28">
        <f>+G107+G111</f>
        <v>2764747.52</v>
      </c>
      <c r="H113" s="29">
        <f>+H107+H111</f>
        <v>0.23718865804694073</v>
      </c>
    </row>
    <row r="114" spans="4:8" ht="2.4" customHeight="1" x14ac:dyDescent="0.3">
      <c r="D114" s="50"/>
      <c r="E114" s="32"/>
      <c r="F114" s="21"/>
      <c r="G114" s="15"/>
      <c r="H114" s="20"/>
    </row>
    <row r="115" spans="4:8" ht="12.6" customHeight="1" thickBot="1" x14ac:dyDescent="0.35">
      <c r="D115" s="50"/>
      <c r="E115" s="37" t="s">
        <v>13</v>
      </c>
      <c r="F115" s="21"/>
      <c r="G115" s="38">
        <f>+G104+G113</f>
        <v>11656322.619999999</v>
      </c>
      <c r="H115" s="39">
        <f>+H104+H113</f>
        <v>1</v>
      </c>
    </row>
    <row r="116" spans="4:8" ht="6" customHeight="1" thickTop="1" x14ac:dyDescent="0.3">
      <c r="D116" s="51"/>
      <c r="E116" s="40"/>
      <c r="F116" s="41"/>
      <c r="G116" s="41"/>
      <c r="H116" s="36"/>
    </row>
    <row r="117" spans="4:8" x14ac:dyDescent="0.3">
      <c r="D117" s="52"/>
      <c r="E117" s="6"/>
      <c r="F117" s="7"/>
      <c r="G117" s="7"/>
      <c r="H117" s="8"/>
    </row>
    <row r="118" spans="4:8" x14ac:dyDescent="0.3">
      <c r="D118" s="52"/>
      <c r="E118" s="6"/>
      <c r="F118" s="7"/>
      <c r="G118" s="7"/>
      <c r="H118" s="8"/>
    </row>
    <row r="119" spans="4:8" x14ac:dyDescent="0.3">
      <c r="D119" s="52"/>
      <c r="E119" s="6"/>
      <c r="F119" s="7"/>
      <c r="G119" s="7"/>
      <c r="H119" s="8"/>
    </row>
    <row r="120" spans="4:8" ht="14.4" x14ac:dyDescent="0.3">
      <c r="D120" s="55" t="s">
        <v>16</v>
      </c>
      <c r="E120" s="55"/>
      <c r="F120" s="55"/>
      <c r="G120" s="55"/>
      <c r="H120" s="55"/>
    </row>
    <row r="121" spans="4:8" ht="6" customHeight="1" x14ac:dyDescent="0.3"/>
    <row r="122" spans="4:8" ht="12" customHeight="1" x14ac:dyDescent="0.3">
      <c r="D122" s="53" t="s">
        <v>1</v>
      </c>
      <c r="E122" s="54"/>
      <c r="F122" s="11" t="s">
        <v>36</v>
      </c>
      <c r="G122" s="12" t="s">
        <v>2</v>
      </c>
      <c r="H122" s="13" t="s">
        <v>3</v>
      </c>
    </row>
    <row r="123" spans="4:8" ht="4.8" customHeight="1" x14ac:dyDescent="0.3">
      <c r="D123" s="49"/>
      <c r="E123" s="44"/>
      <c r="F123" s="45"/>
      <c r="G123" s="46"/>
      <c r="H123" s="47"/>
    </row>
    <row r="124" spans="4:8" ht="12" customHeight="1" x14ac:dyDescent="0.3">
      <c r="D124" s="50" t="s">
        <v>37</v>
      </c>
      <c r="E124" s="14"/>
      <c r="F124" s="15"/>
      <c r="G124" s="16"/>
      <c r="H124" s="17"/>
    </row>
    <row r="125" spans="4:8" ht="12" customHeight="1" x14ac:dyDescent="0.3">
      <c r="D125" s="50"/>
      <c r="E125" s="14" t="s">
        <v>4</v>
      </c>
      <c r="F125" s="18"/>
      <c r="G125" s="19">
        <v>5900877.9199999999</v>
      </c>
      <c r="H125" s="20">
        <f>+G125/G150</f>
        <v>0.44494753133651732</v>
      </c>
    </row>
    <row r="126" spans="4:8" ht="12" customHeight="1" x14ac:dyDescent="0.3">
      <c r="D126" s="50"/>
      <c r="E126" s="14" t="s">
        <v>5</v>
      </c>
      <c r="F126" s="15"/>
      <c r="G126" s="4">
        <v>2648873.73</v>
      </c>
      <c r="H126" s="20">
        <f>+G126/G150</f>
        <v>0.19973465693824294</v>
      </c>
    </row>
    <row r="127" spans="4:8" ht="12" customHeight="1" x14ac:dyDescent="0.3">
      <c r="D127" s="50"/>
      <c r="E127" s="14" t="s">
        <v>38</v>
      </c>
      <c r="F127" s="15"/>
      <c r="G127" s="22"/>
      <c r="H127" s="20"/>
    </row>
    <row r="128" spans="4:8" ht="12" customHeight="1" x14ac:dyDescent="0.3">
      <c r="D128" s="50"/>
      <c r="E128" s="23" t="s">
        <v>34</v>
      </c>
      <c r="F128" s="10">
        <v>4451.88</v>
      </c>
      <c r="G128" s="21"/>
      <c r="H128" s="20"/>
    </row>
    <row r="129" spans="4:11" ht="12" hidden="1" customHeight="1" x14ac:dyDescent="0.3">
      <c r="D129" s="50"/>
      <c r="E129" s="23" t="s">
        <v>8</v>
      </c>
      <c r="F129" s="21">
        <v>0</v>
      </c>
      <c r="G129" s="24"/>
      <c r="H129" s="43"/>
    </row>
    <row r="130" spans="4:11" ht="12" customHeight="1" x14ac:dyDescent="0.3">
      <c r="D130" s="50"/>
      <c r="E130" s="23" t="s">
        <v>9</v>
      </c>
      <c r="F130" s="25">
        <v>32157.08</v>
      </c>
      <c r="G130" s="21">
        <f>SUM(F128:F130)</f>
        <v>36608.959999999999</v>
      </c>
      <c r="H130" s="20">
        <f>+G130/G150</f>
        <v>2.7604479532763E-3</v>
      </c>
    </row>
    <row r="131" spans="4:11" ht="12" customHeight="1" x14ac:dyDescent="0.3">
      <c r="D131" s="50"/>
      <c r="E131" s="14" t="s">
        <v>39</v>
      </c>
      <c r="F131" s="10"/>
      <c r="G131" s="22"/>
      <c r="H131" s="20"/>
      <c r="K131" s="1">
        <f>44.49+19.97+0.28+6.45+28.81</f>
        <v>100.00000000000001</v>
      </c>
    </row>
    <row r="132" spans="4:11" ht="12" customHeight="1" x14ac:dyDescent="0.3">
      <c r="D132" s="50"/>
      <c r="E132" s="23" t="s">
        <v>33</v>
      </c>
      <c r="F132" s="10">
        <v>293964.38</v>
      </c>
      <c r="G132" s="22"/>
      <c r="H132" s="20"/>
      <c r="K132" s="1">
        <f>71.19+28.81</f>
        <v>100</v>
      </c>
    </row>
    <row r="133" spans="4:11" ht="12" customHeight="1" x14ac:dyDescent="0.3">
      <c r="D133" s="50"/>
      <c r="E133" s="23" t="s">
        <v>6</v>
      </c>
      <c r="F133" s="21">
        <v>122449.54</v>
      </c>
      <c r="G133" s="22"/>
      <c r="H133" s="20"/>
    </row>
    <row r="134" spans="4:11" ht="12" customHeight="1" x14ac:dyDescent="0.3">
      <c r="D134" s="50"/>
      <c r="E134" s="23" t="s">
        <v>7</v>
      </c>
      <c r="F134" s="21">
        <v>105982.82</v>
      </c>
      <c r="G134" s="22"/>
      <c r="H134" s="20"/>
    </row>
    <row r="135" spans="4:11" ht="12" customHeight="1" x14ac:dyDescent="0.3">
      <c r="D135" s="50"/>
      <c r="E135" s="23" t="s">
        <v>31</v>
      </c>
      <c r="F135" s="21">
        <v>301050.68</v>
      </c>
      <c r="G135" s="22"/>
      <c r="H135" s="20"/>
    </row>
    <row r="136" spans="4:11" ht="12" customHeight="1" x14ac:dyDescent="0.3">
      <c r="D136" s="50"/>
      <c r="E136" s="23" t="s">
        <v>32</v>
      </c>
      <c r="F136" s="25">
        <v>31257.47</v>
      </c>
      <c r="G136" s="5">
        <f>SUM(F132:F137)</f>
        <v>854704.8899999999</v>
      </c>
      <c r="H136" s="26">
        <f>+G136/G150+0.00001</f>
        <v>6.4457839115226012E-2</v>
      </c>
    </row>
    <row r="137" spans="4:11" ht="12" hidden="1" customHeight="1" x14ac:dyDescent="0.3">
      <c r="D137" s="50"/>
      <c r="E137" s="23" t="s">
        <v>40</v>
      </c>
      <c r="F137" s="25">
        <v>0</v>
      </c>
    </row>
    <row r="138" spans="4:11" ht="2.4" customHeight="1" x14ac:dyDescent="0.3">
      <c r="D138" s="50"/>
      <c r="E138" s="14"/>
      <c r="F138" s="15"/>
      <c r="G138" s="21"/>
      <c r="H138" s="20"/>
    </row>
    <row r="139" spans="4:11" ht="12" customHeight="1" x14ac:dyDescent="0.3">
      <c r="D139" s="50"/>
      <c r="E139" s="27" t="s">
        <v>41</v>
      </c>
      <c r="F139" s="15"/>
      <c r="G139" s="28">
        <f>SUM(G125:G136)</f>
        <v>9441065.5000000019</v>
      </c>
      <c r="H139" s="29">
        <f>+G139/G150</f>
        <v>0.71189047534326277</v>
      </c>
    </row>
    <row r="140" spans="4:11" ht="6" customHeight="1" x14ac:dyDescent="0.3">
      <c r="D140" s="50"/>
      <c r="E140" s="27"/>
      <c r="F140" s="15"/>
      <c r="G140" s="30"/>
      <c r="H140" s="31"/>
    </row>
    <row r="141" spans="4:11" ht="12" hidden="1" customHeight="1" x14ac:dyDescent="0.3">
      <c r="D141" s="50" t="s">
        <v>35</v>
      </c>
      <c r="E141" s="32"/>
      <c r="F141" s="21"/>
      <c r="G141" s="15"/>
      <c r="H141" s="20"/>
    </row>
    <row r="142" spans="4:11" ht="12" hidden="1" customHeight="1" x14ac:dyDescent="0.3">
      <c r="D142" s="50"/>
      <c r="E142" s="33" t="s">
        <v>42</v>
      </c>
      <c r="F142" s="34"/>
      <c r="G142" s="10">
        <v>0</v>
      </c>
      <c r="H142" s="35">
        <f>+G142/G150</f>
        <v>0</v>
      </c>
    </row>
    <row r="143" spans="4:11" ht="6" customHeight="1" x14ac:dyDescent="0.3">
      <c r="D143" s="50"/>
      <c r="E143" s="27"/>
      <c r="F143" s="15"/>
      <c r="G143" s="30"/>
      <c r="H143" s="31"/>
    </row>
    <row r="144" spans="4:11" ht="12" customHeight="1" x14ac:dyDescent="0.3">
      <c r="D144" s="50" t="s">
        <v>10</v>
      </c>
      <c r="E144" s="14"/>
      <c r="F144" s="15"/>
      <c r="G144" s="21"/>
      <c r="H144" s="20"/>
    </row>
    <row r="145" spans="4:8" ht="12" customHeight="1" x14ac:dyDescent="0.3">
      <c r="D145" s="50"/>
      <c r="E145" s="14" t="s">
        <v>11</v>
      </c>
      <c r="F145" s="10">
        <v>1633895.1</v>
      </c>
      <c r="G145" s="21"/>
      <c r="H145" s="20"/>
    </row>
    <row r="146" spans="4:8" ht="12" customHeight="1" x14ac:dyDescent="0.3">
      <c r="D146" s="50"/>
      <c r="E146" s="14" t="s">
        <v>12</v>
      </c>
      <c r="F146" s="25">
        <v>2187002.9</v>
      </c>
      <c r="G146" s="25">
        <f>SUM(F145:F146)</f>
        <v>3820898</v>
      </c>
      <c r="H146" s="36">
        <f>+G146/G150</f>
        <v>0.28810952465673723</v>
      </c>
    </row>
    <row r="147" spans="4:8" ht="2.4" customHeight="1" x14ac:dyDescent="0.3">
      <c r="D147" s="50"/>
      <c r="E147" s="32"/>
      <c r="F147" s="21"/>
      <c r="G147" s="15"/>
      <c r="H147" s="20"/>
    </row>
    <row r="148" spans="4:8" ht="12" customHeight="1" x14ac:dyDescent="0.3">
      <c r="D148" s="50"/>
      <c r="E148" s="27" t="s">
        <v>41</v>
      </c>
      <c r="F148" s="15"/>
      <c r="G148" s="28">
        <f>+G142+G146</f>
        <v>3820898</v>
      </c>
      <c r="H148" s="29">
        <f>+H142+H146</f>
        <v>0.28810952465673723</v>
      </c>
    </row>
    <row r="149" spans="4:8" ht="2.4" customHeight="1" x14ac:dyDescent="0.3">
      <c r="D149" s="50"/>
      <c r="E149" s="32"/>
      <c r="F149" s="21"/>
      <c r="G149" s="15"/>
      <c r="H149" s="20"/>
    </row>
    <row r="150" spans="4:8" ht="12.6" customHeight="1" thickBot="1" x14ac:dyDescent="0.35">
      <c r="D150" s="50"/>
      <c r="E150" s="37" t="s">
        <v>13</v>
      </c>
      <c r="F150" s="21"/>
      <c r="G150" s="38">
        <f>+G139+G148</f>
        <v>13261963.500000002</v>
      </c>
      <c r="H150" s="39">
        <f>+H139+H148</f>
        <v>1</v>
      </c>
    </row>
    <row r="151" spans="4:8" ht="6" customHeight="1" thickTop="1" x14ac:dyDescent="0.3">
      <c r="D151" s="51"/>
      <c r="E151" s="40"/>
      <c r="F151" s="41"/>
      <c r="G151" s="41"/>
      <c r="H151" s="36"/>
    </row>
    <row r="152" spans="4:8" ht="14.4" x14ac:dyDescent="0.3">
      <c r="D152" s="55" t="s">
        <v>17</v>
      </c>
      <c r="E152" s="55"/>
      <c r="F152" s="55"/>
      <c r="G152" s="55"/>
      <c r="H152" s="55"/>
    </row>
    <row r="153" spans="4:8" ht="6" customHeight="1" x14ac:dyDescent="0.3"/>
    <row r="154" spans="4:8" ht="12" customHeight="1" x14ac:dyDescent="0.3">
      <c r="D154" s="53" t="s">
        <v>1</v>
      </c>
      <c r="E154" s="54"/>
      <c r="F154" s="11" t="s">
        <v>36</v>
      </c>
      <c r="G154" s="12" t="s">
        <v>2</v>
      </c>
      <c r="H154" s="13" t="s">
        <v>3</v>
      </c>
    </row>
    <row r="155" spans="4:8" ht="4.8" customHeight="1" x14ac:dyDescent="0.3">
      <c r="D155" s="49"/>
      <c r="E155" s="44"/>
      <c r="F155" s="45"/>
      <c r="G155" s="46"/>
      <c r="H155" s="47"/>
    </row>
    <row r="156" spans="4:8" ht="12" customHeight="1" x14ac:dyDescent="0.3">
      <c r="D156" s="50" t="s">
        <v>37</v>
      </c>
      <c r="E156" s="14"/>
      <c r="F156" s="15"/>
      <c r="G156" s="16"/>
      <c r="H156" s="17"/>
    </row>
    <row r="157" spans="4:8" ht="12" customHeight="1" x14ac:dyDescent="0.3">
      <c r="D157" s="50"/>
      <c r="E157" s="14" t="s">
        <v>4</v>
      </c>
      <c r="F157" s="18"/>
      <c r="G157" s="19">
        <v>11053235.789999999</v>
      </c>
      <c r="H157" s="20">
        <f>+G157/G182</f>
        <v>0.31357116946015928</v>
      </c>
    </row>
    <row r="158" spans="4:8" ht="12" customHeight="1" x14ac:dyDescent="0.3">
      <c r="D158" s="50"/>
      <c r="E158" s="14" t="s">
        <v>5</v>
      </c>
      <c r="F158" s="15"/>
      <c r="G158" s="4">
        <v>4875317.3</v>
      </c>
      <c r="H158" s="20">
        <f>+G158/G182</f>
        <v>0.13830872482005979</v>
      </c>
    </row>
    <row r="159" spans="4:8" ht="12" customHeight="1" x14ac:dyDescent="0.3">
      <c r="D159" s="50"/>
      <c r="E159" s="14" t="s">
        <v>38</v>
      </c>
      <c r="F159" s="15"/>
      <c r="G159" s="22"/>
      <c r="H159" s="20"/>
    </row>
    <row r="160" spans="4:8" ht="12" customHeight="1" x14ac:dyDescent="0.3">
      <c r="D160" s="50"/>
      <c r="E160" s="23" t="s">
        <v>34</v>
      </c>
      <c r="G160" s="4">
        <v>50331.12</v>
      </c>
      <c r="H160" s="20">
        <f>+G160/G182</f>
        <v>1.4278523012164579E-3</v>
      </c>
    </row>
    <row r="161" spans="4:11" ht="12" hidden="1" customHeight="1" x14ac:dyDescent="0.3">
      <c r="D161" s="50"/>
      <c r="E161" s="23" t="s">
        <v>8</v>
      </c>
      <c r="F161" s="21">
        <v>0</v>
      </c>
      <c r="G161" s="24"/>
      <c r="H161" s="14"/>
    </row>
    <row r="162" spans="4:11" ht="12" hidden="1" customHeight="1" x14ac:dyDescent="0.3">
      <c r="D162" s="50"/>
      <c r="E162" s="23" t="s">
        <v>9</v>
      </c>
      <c r="F162" s="25">
        <v>0</v>
      </c>
      <c r="G162" s="21">
        <f>SUM(F160:F162)</f>
        <v>0</v>
      </c>
    </row>
    <row r="163" spans="4:11" ht="12" customHeight="1" x14ac:dyDescent="0.3">
      <c r="D163" s="50"/>
      <c r="E163" s="14" t="s">
        <v>39</v>
      </c>
      <c r="F163" s="10"/>
      <c r="G163" s="22"/>
      <c r="H163" s="20"/>
      <c r="K163" s="1">
        <f>31.36+13.83+0.14+6.06+0.46+48.15</f>
        <v>100</v>
      </c>
    </row>
    <row r="164" spans="4:11" ht="12" customHeight="1" x14ac:dyDescent="0.3">
      <c r="D164" s="50"/>
      <c r="E164" s="23" t="s">
        <v>33</v>
      </c>
      <c r="F164" s="10">
        <v>153913.44</v>
      </c>
      <c r="G164" s="22"/>
      <c r="H164" s="20"/>
      <c r="K164" s="1">
        <f>51.39+48.61</f>
        <v>100</v>
      </c>
    </row>
    <row r="165" spans="4:11" ht="12" customHeight="1" x14ac:dyDescent="0.3">
      <c r="D165" s="50"/>
      <c r="E165" s="23" t="s">
        <v>6</v>
      </c>
      <c r="F165" s="21">
        <v>550669.5</v>
      </c>
      <c r="G165" s="22"/>
      <c r="H165" s="20"/>
    </row>
    <row r="166" spans="4:11" ht="12" customHeight="1" x14ac:dyDescent="0.3">
      <c r="D166" s="50"/>
      <c r="E166" s="23" t="s">
        <v>7</v>
      </c>
      <c r="F166" s="21">
        <v>482780.56</v>
      </c>
      <c r="G166" s="22"/>
      <c r="H166" s="20"/>
    </row>
    <row r="167" spans="4:11" ht="12" customHeight="1" x14ac:dyDescent="0.3">
      <c r="D167" s="50"/>
      <c r="E167" s="23" t="s">
        <v>31</v>
      </c>
      <c r="F167" s="21">
        <v>892346.47</v>
      </c>
      <c r="G167" s="22"/>
      <c r="H167" s="20"/>
    </row>
    <row r="168" spans="4:11" ht="12" customHeight="1" x14ac:dyDescent="0.3">
      <c r="D168" s="50"/>
      <c r="E168" s="23" t="s">
        <v>32</v>
      </c>
      <c r="F168" s="25">
        <v>56623.53</v>
      </c>
      <c r="G168" s="5">
        <f>SUM(F164:F169)</f>
        <v>2136333.5</v>
      </c>
      <c r="H168" s="26">
        <f>+G168/G182</f>
        <v>6.0606016797178558E-2</v>
      </c>
    </row>
    <row r="169" spans="4:11" ht="12" hidden="1" customHeight="1" x14ac:dyDescent="0.3">
      <c r="D169" s="50"/>
      <c r="E169" s="23" t="s">
        <v>40</v>
      </c>
      <c r="F169" s="25">
        <v>0</v>
      </c>
    </row>
    <row r="170" spans="4:11" ht="2.4" customHeight="1" x14ac:dyDescent="0.3">
      <c r="D170" s="50"/>
      <c r="E170" s="14"/>
      <c r="F170" s="15"/>
      <c r="G170" s="21"/>
      <c r="H170" s="20"/>
    </row>
    <row r="171" spans="4:11" ht="12" customHeight="1" x14ac:dyDescent="0.3">
      <c r="D171" s="50"/>
      <c r="E171" s="27" t="s">
        <v>41</v>
      </c>
      <c r="F171" s="15"/>
      <c r="G171" s="28">
        <f>SUM(G157:G168)</f>
        <v>18115217.710000001</v>
      </c>
      <c r="H171" s="29">
        <f>+G171/G182</f>
        <v>0.51391376337861416</v>
      </c>
    </row>
    <row r="172" spans="4:11" ht="6" customHeight="1" x14ac:dyDescent="0.3">
      <c r="D172" s="50"/>
      <c r="E172" s="27"/>
      <c r="F172" s="15"/>
      <c r="G172" s="30"/>
      <c r="H172" s="31"/>
    </row>
    <row r="173" spans="4:11" ht="12" customHeight="1" x14ac:dyDescent="0.3">
      <c r="D173" s="50" t="s">
        <v>35</v>
      </c>
      <c r="E173" s="32"/>
      <c r="F173" s="21"/>
      <c r="G173" s="15"/>
      <c r="H173" s="20"/>
    </row>
    <row r="174" spans="4:11" ht="12" customHeight="1" x14ac:dyDescent="0.3">
      <c r="D174" s="50"/>
      <c r="E174" s="33" t="s">
        <v>42</v>
      </c>
      <c r="F174" s="34"/>
      <c r="G174" s="10">
        <v>163278</v>
      </c>
      <c r="H174" s="35">
        <f>+G174/G182</f>
        <v>4.6320619934152232E-3</v>
      </c>
    </row>
    <row r="175" spans="4:11" ht="6" customHeight="1" x14ac:dyDescent="0.3">
      <c r="D175" s="50"/>
      <c r="E175" s="27"/>
      <c r="F175" s="15"/>
      <c r="G175" s="30"/>
      <c r="H175" s="31"/>
    </row>
    <row r="176" spans="4:11" ht="12" customHeight="1" x14ac:dyDescent="0.3">
      <c r="D176" s="50" t="s">
        <v>10</v>
      </c>
      <c r="E176" s="14"/>
      <c r="F176" s="15"/>
      <c r="G176" s="21"/>
      <c r="H176" s="20"/>
    </row>
    <row r="177" spans="4:8" ht="12" customHeight="1" x14ac:dyDescent="0.3">
      <c r="D177" s="50"/>
      <c r="E177" s="14" t="s">
        <v>11</v>
      </c>
      <c r="F177" s="10">
        <v>6861188.3099999996</v>
      </c>
      <c r="G177" s="21"/>
      <c r="H177" s="20"/>
    </row>
    <row r="178" spans="4:8" ht="12" customHeight="1" x14ac:dyDescent="0.3">
      <c r="D178" s="50"/>
      <c r="E178" s="14" t="s">
        <v>12</v>
      </c>
      <c r="F178" s="25">
        <v>10109844.210000001</v>
      </c>
      <c r="G178" s="25">
        <f>SUM(F177:F178)</f>
        <v>16971032.52</v>
      </c>
      <c r="H178" s="36">
        <f>+G178/G182</f>
        <v>0.48145417462797052</v>
      </c>
    </row>
    <row r="179" spans="4:8" ht="2.4" customHeight="1" x14ac:dyDescent="0.3">
      <c r="D179" s="50"/>
      <c r="E179" s="32"/>
      <c r="F179" s="21"/>
      <c r="G179" s="15"/>
      <c r="H179" s="20"/>
    </row>
    <row r="180" spans="4:8" ht="12" customHeight="1" x14ac:dyDescent="0.3">
      <c r="D180" s="50"/>
      <c r="E180" s="27" t="s">
        <v>41</v>
      </c>
      <c r="F180" s="15"/>
      <c r="G180" s="28">
        <f>SUM(G174:G178)</f>
        <v>17134310.52</v>
      </c>
      <c r="H180" s="29">
        <f>+H174+H178</f>
        <v>0.48608623662138573</v>
      </c>
    </row>
    <row r="181" spans="4:8" ht="2.4" customHeight="1" x14ac:dyDescent="0.3">
      <c r="D181" s="50"/>
      <c r="E181" s="32"/>
      <c r="F181" s="21"/>
      <c r="G181" s="15"/>
      <c r="H181" s="20"/>
    </row>
    <row r="182" spans="4:8" ht="12.6" customHeight="1" thickBot="1" x14ac:dyDescent="0.35">
      <c r="D182" s="50"/>
      <c r="E182" s="37" t="s">
        <v>13</v>
      </c>
      <c r="F182" s="21"/>
      <c r="G182" s="38">
        <f>+G171+G180</f>
        <v>35249528.230000004</v>
      </c>
      <c r="H182" s="39">
        <f>+H171+H180</f>
        <v>0.99999999999999989</v>
      </c>
    </row>
    <row r="183" spans="4:8" ht="6" customHeight="1" thickTop="1" x14ac:dyDescent="0.3">
      <c r="D183" s="51"/>
      <c r="E183" s="40"/>
      <c r="F183" s="41"/>
      <c r="G183" s="41"/>
      <c r="H183" s="36"/>
    </row>
    <row r="184" spans="4:8" x14ac:dyDescent="0.3">
      <c r="D184" s="52"/>
      <c r="E184" s="6"/>
      <c r="F184" s="7"/>
      <c r="G184" s="7"/>
      <c r="H184" s="8"/>
    </row>
    <row r="185" spans="4:8" x14ac:dyDescent="0.3">
      <c r="D185" s="52"/>
      <c r="E185" s="6"/>
      <c r="F185" s="7"/>
      <c r="G185" s="7"/>
      <c r="H185" s="8"/>
    </row>
    <row r="186" spans="4:8" x14ac:dyDescent="0.3">
      <c r="D186" s="52"/>
      <c r="E186" s="6"/>
      <c r="F186" s="7"/>
      <c r="G186" s="7"/>
      <c r="H186" s="8"/>
    </row>
    <row r="187" spans="4:8" ht="14.4" x14ac:dyDescent="0.3">
      <c r="D187" s="55" t="s">
        <v>43</v>
      </c>
      <c r="E187" s="55"/>
      <c r="F187" s="55"/>
      <c r="G187" s="55"/>
      <c r="H187" s="55"/>
    </row>
    <row r="188" spans="4:8" ht="6" customHeight="1" x14ac:dyDescent="0.3"/>
    <row r="189" spans="4:8" ht="12" customHeight="1" x14ac:dyDescent="0.3">
      <c r="D189" s="53" t="s">
        <v>1</v>
      </c>
      <c r="E189" s="54"/>
      <c r="F189" s="11" t="s">
        <v>36</v>
      </c>
      <c r="G189" s="12" t="s">
        <v>2</v>
      </c>
      <c r="H189" s="13" t="s">
        <v>3</v>
      </c>
    </row>
    <row r="190" spans="4:8" ht="4.8" customHeight="1" x14ac:dyDescent="0.3">
      <c r="D190" s="49"/>
      <c r="E190" s="44"/>
      <c r="F190" s="45"/>
      <c r="G190" s="46"/>
      <c r="H190" s="47"/>
    </row>
    <row r="191" spans="4:8" ht="12" customHeight="1" x14ac:dyDescent="0.3">
      <c r="D191" s="50" t="s">
        <v>37</v>
      </c>
      <c r="E191" s="14"/>
      <c r="F191" s="15"/>
      <c r="G191" s="16"/>
      <c r="H191" s="17"/>
    </row>
    <row r="192" spans="4:8" ht="12" customHeight="1" x14ac:dyDescent="0.3">
      <c r="D192" s="50"/>
      <c r="E192" s="14" t="s">
        <v>4</v>
      </c>
      <c r="F192" s="18"/>
      <c r="G192" s="19">
        <v>7439228.3499999996</v>
      </c>
      <c r="H192" s="20">
        <f>+G192/G217</f>
        <v>0.39180453218987055</v>
      </c>
    </row>
    <row r="193" spans="4:11" ht="12" customHeight="1" x14ac:dyDescent="0.3">
      <c r="D193" s="50"/>
      <c r="E193" s="14" t="s">
        <v>5</v>
      </c>
      <c r="F193" s="15"/>
      <c r="G193" s="4">
        <v>3360222.8</v>
      </c>
      <c r="H193" s="20">
        <f>+G193/G217</f>
        <v>0.17697407046360353</v>
      </c>
    </row>
    <row r="194" spans="4:11" ht="12" customHeight="1" x14ac:dyDescent="0.3">
      <c r="D194" s="50"/>
      <c r="E194" s="14" t="s">
        <v>38</v>
      </c>
      <c r="F194" s="15"/>
      <c r="G194" s="22"/>
      <c r="H194" s="20"/>
    </row>
    <row r="195" spans="4:11" ht="12" customHeight="1" x14ac:dyDescent="0.3">
      <c r="D195" s="50"/>
      <c r="E195" s="23" t="s">
        <v>34</v>
      </c>
      <c r="F195" s="10">
        <v>16926.560000000001</v>
      </c>
      <c r="G195" s="21"/>
      <c r="H195" s="20"/>
    </row>
    <row r="196" spans="4:11" ht="12" hidden="1" customHeight="1" x14ac:dyDescent="0.3">
      <c r="D196" s="50"/>
      <c r="E196" s="23" t="s">
        <v>8</v>
      </c>
      <c r="F196" s="21">
        <v>0</v>
      </c>
      <c r="G196" s="24"/>
      <c r="H196" s="14"/>
    </row>
    <row r="197" spans="4:11" ht="12" customHeight="1" x14ac:dyDescent="0.3">
      <c r="D197" s="50"/>
      <c r="E197" s="23" t="s">
        <v>9</v>
      </c>
      <c r="F197" s="25">
        <v>245</v>
      </c>
      <c r="G197" s="21">
        <f>SUM(F195:F197)</f>
        <v>17171.560000000001</v>
      </c>
      <c r="H197" s="20">
        <f>+G197/G217</f>
        <v>9.0438076588552285E-4</v>
      </c>
    </row>
    <row r="198" spans="4:11" ht="12" customHeight="1" x14ac:dyDescent="0.3">
      <c r="D198" s="50"/>
      <c r="E198" s="14" t="s">
        <v>39</v>
      </c>
      <c r="F198" s="10"/>
      <c r="G198" s="22"/>
      <c r="H198" s="20"/>
      <c r="K198" s="1">
        <f>39.18+17.7+0.09+5.76+37.27</f>
        <v>100</v>
      </c>
    </row>
    <row r="199" spans="4:11" ht="12" customHeight="1" x14ac:dyDescent="0.3">
      <c r="D199" s="50"/>
      <c r="E199" s="23" t="s">
        <v>33</v>
      </c>
      <c r="F199" s="10">
        <v>228848.44</v>
      </c>
      <c r="G199" s="22"/>
      <c r="H199" s="20"/>
      <c r="K199" s="1">
        <f>62.73+37.27</f>
        <v>100</v>
      </c>
    </row>
    <row r="200" spans="4:11" ht="12" customHeight="1" x14ac:dyDescent="0.3">
      <c r="D200" s="50"/>
      <c r="E200" s="23" t="s">
        <v>6</v>
      </c>
      <c r="F200" s="21">
        <v>221772.24</v>
      </c>
      <c r="G200" s="22"/>
      <c r="H200" s="20"/>
    </row>
    <row r="201" spans="4:11" ht="12" customHeight="1" x14ac:dyDescent="0.3">
      <c r="D201" s="50"/>
      <c r="E201" s="23" t="s">
        <v>7</v>
      </c>
      <c r="F201" s="21">
        <v>193768.49</v>
      </c>
      <c r="G201" s="22"/>
      <c r="H201" s="20"/>
    </row>
    <row r="202" spans="4:11" ht="12" customHeight="1" x14ac:dyDescent="0.3">
      <c r="D202" s="50"/>
      <c r="E202" s="23" t="s">
        <v>31</v>
      </c>
      <c r="F202" s="21">
        <v>413953.52</v>
      </c>
      <c r="G202" s="22"/>
      <c r="H202" s="20"/>
    </row>
    <row r="203" spans="4:11" ht="12" customHeight="1" x14ac:dyDescent="0.3">
      <c r="D203" s="50"/>
      <c r="E203" s="23" t="s">
        <v>32</v>
      </c>
      <c r="F203" s="25">
        <v>35339.120000000003</v>
      </c>
      <c r="G203" s="5">
        <f>SUM(F199:F204)</f>
        <v>1093681.81</v>
      </c>
      <c r="H203" s="26">
        <f>+G203/G217</f>
        <v>5.7601335753004669E-2</v>
      </c>
    </row>
    <row r="204" spans="4:11" ht="12" hidden="1" customHeight="1" x14ac:dyDescent="0.3">
      <c r="D204" s="50"/>
      <c r="E204" s="23" t="s">
        <v>40</v>
      </c>
      <c r="F204" s="25">
        <v>0</v>
      </c>
    </row>
    <row r="205" spans="4:11" ht="2.4" customHeight="1" x14ac:dyDescent="0.3">
      <c r="D205" s="50"/>
      <c r="E205" s="14"/>
      <c r="F205" s="15"/>
      <c r="G205" s="21"/>
      <c r="H205" s="20"/>
    </row>
    <row r="206" spans="4:11" ht="12" customHeight="1" x14ac:dyDescent="0.3">
      <c r="D206" s="50"/>
      <c r="E206" s="27" t="s">
        <v>41</v>
      </c>
      <c r="F206" s="15"/>
      <c r="G206" s="28">
        <f>SUM(G192:G203)</f>
        <v>11910304.52</v>
      </c>
      <c r="H206" s="29">
        <f>+G206/G217</f>
        <v>0.62728431917236427</v>
      </c>
    </row>
    <row r="207" spans="4:11" ht="6" customHeight="1" x14ac:dyDescent="0.3">
      <c r="D207" s="50"/>
      <c r="E207" s="27"/>
      <c r="F207" s="15"/>
      <c r="G207" s="30"/>
      <c r="H207" s="31"/>
    </row>
    <row r="208" spans="4:11" ht="12" hidden="1" customHeight="1" x14ac:dyDescent="0.3">
      <c r="D208" s="50" t="s">
        <v>35</v>
      </c>
      <c r="E208" s="32"/>
      <c r="F208" s="21"/>
      <c r="G208" s="15"/>
      <c r="H208" s="20"/>
    </row>
    <row r="209" spans="4:8" ht="12" hidden="1" customHeight="1" x14ac:dyDescent="0.3">
      <c r="D209" s="50"/>
      <c r="E209" s="33" t="s">
        <v>42</v>
      </c>
      <c r="F209" s="34"/>
      <c r="G209" s="10">
        <v>0</v>
      </c>
      <c r="H209" s="35">
        <f>+G209/G217</f>
        <v>0</v>
      </c>
    </row>
    <row r="210" spans="4:8" ht="6" customHeight="1" x14ac:dyDescent="0.3">
      <c r="D210" s="50"/>
      <c r="E210" s="27"/>
      <c r="F210" s="15"/>
      <c r="G210" s="30"/>
      <c r="H210" s="31"/>
    </row>
    <row r="211" spans="4:8" ht="12" customHeight="1" x14ac:dyDescent="0.3">
      <c r="D211" s="50" t="s">
        <v>10</v>
      </c>
      <c r="E211" s="14"/>
      <c r="F211" s="15"/>
      <c r="G211" s="21"/>
      <c r="H211" s="20"/>
    </row>
    <row r="212" spans="4:8" ht="12" customHeight="1" x14ac:dyDescent="0.3">
      <c r="D212" s="50"/>
      <c r="E212" s="14" t="s">
        <v>11</v>
      </c>
      <c r="F212" s="10">
        <v>3160171.56</v>
      </c>
      <c r="G212" s="21"/>
      <c r="H212" s="20"/>
    </row>
    <row r="213" spans="4:8" ht="12" customHeight="1" x14ac:dyDescent="0.3">
      <c r="D213" s="50"/>
      <c r="E213" s="14" t="s">
        <v>12</v>
      </c>
      <c r="F213" s="25">
        <v>3916615.03</v>
      </c>
      <c r="G213" s="25">
        <f>SUM(F212:F213)</f>
        <v>7076786.5899999999</v>
      </c>
      <c r="H213" s="36">
        <f>+G213/G217</f>
        <v>0.37271568082763573</v>
      </c>
    </row>
    <row r="214" spans="4:8" ht="2.4" customHeight="1" x14ac:dyDescent="0.3">
      <c r="D214" s="50"/>
      <c r="E214" s="32"/>
      <c r="F214" s="21"/>
      <c r="G214" s="15"/>
      <c r="H214" s="20"/>
    </row>
    <row r="215" spans="4:8" ht="12" customHeight="1" x14ac:dyDescent="0.3">
      <c r="D215" s="50"/>
      <c r="E215" s="27" t="s">
        <v>41</v>
      </c>
      <c r="F215" s="15"/>
      <c r="G215" s="28">
        <f>SUM(G209:G213)</f>
        <v>7076786.5899999999</v>
      </c>
      <c r="H215" s="29">
        <f>+H209+H213</f>
        <v>0.37271568082763573</v>
      </c>
    </row>
    <row r="216" spans="4:8" ht="2.4" customHeight="1" x14ac:dyDescent="0.3">
      <c r="D216" s="50"/>
      <c r="E216" s="32"/>
      <c r="F216" s="21"/>
      <c r="G216" s="15"/>
      <c r="H216" s="20"/>
    </row>
    <row r="217" spans="4:8" ht="12.6" customHeight="1" thickBot="1" x14ac:dyDescent="0.35">
      <c r="D217" s="50"/>
      <c r="E217" s="37" t="s">
        <v>13</v>
      </c>
      <c r="F217" s="21"/>
      <c r="G217" s="38">
        <f>+G206+G215</f>
        <v>18987091.109999999</v>
      </c>
      <c r="H217" s="39">
        <f>+H206+H215</f>
        <v>1</v>
      </c>
    </row>
    <row r="218" spans="4:8" ht="6" customHeight="1" thickTop="1" x14ac:dyDescent="0.3">
      <c r="D218" s="51"/>
      <c r="E218" s="40"/>
      <c r="F218" s="41"/>
      <c r="G218" s="41"/>
      <c r="H218" s="36"/>
    </row>
    <row r="220" spans="4:8" ht="14.4" x14ac:dyDescent="0.3">
      <c r="D220" s="55" t="s">
        <v>18</v>
      </c>
      <c r="E220" s="55"/>
      <c r="F220" s="55"/>
      <c r="G220" s="55"/>
      <c r="H220" s="55"/>
    </row>
    <row r="221" spans="4:8" ht="6" customHeight="1" x14ac:dyDescent="0.3"/>
    <row r="222" spans="4:8" ht="12" customHeight="1" x14ac:dyDescent="0.3">
      <c r="D222" s="53" t="s">
        <v>1</v>
      </c>
      <c r="E222" s="54"/>
      <c r="F222" s="11" t="s">
        <v>36</v>
      </c>
      <c r="G222" s="12" t="s">
        <v>2</v>
      </c>
      <c r="H222" s="13" t="s">
        <v>3</v>
      </c>
    </row>
    <row r="223" spans="4:8" ht="4.8" customHeight="1" x14ac:dyDescent="0.3">
      <c r="D223" s="49"/>
      <c r="E223" s="44"/>
      <c r="F223" s="45"/>
      <c r="G223" s="46"/>
      <c r="H223" s="47"/>
    </row>
    <row r="224" spans="4:8" ht="12" customHeight="1" x14ac:dyDescent="0.3">
      <c r="D224" s="50" t="s">
        <v>37</v>
      </c>
      <c r="E224" s="14"/>
      <c r="F224" s="15"/>
      <c r="G224" s="16"/>
      <c r="H224" s="17"/>
    </row>
    <row r="225" spans="4:11" ht="12" customHeight="1" x14ac:dyDescent="0.3">
      <c r="D225" s="50"/>
      <c r="E225" s="14" t="s">
        <v>4</v>
      </c>
      <c r="F225" s="18"/>
      <c r="G225" s="19">
        <v>6690105.7800000003</v>
      </c>
      <c r="H225" s="20">
        <f>+G225/G250</f>
        <v>0.33787293271624003</v>
      </c>
    </row>
    <row r="226" spans="4:11" ht="12" customHeight="1" x14ac:dyDescent="0.3">
      <c r="D226" s="50"/>
      <c r="E226" s="14" t="s">
        <v>5</v>
      </c>
      <c r="F226" s="15"/>
      <c r="G226" s="4">
        <v>3015021.88</v>
      </c>
      <c r="H226" s="20">
        <f>+G226/G250</f>
        <v>0.15226878592033732</v>
      </c>
    </row>
    <row r="227" spans="4:11" ht="12" customHeight="1" x14ac:dyDescent="0.3">
      <c r="D227" s="50"/>
      <c r="E227" s="14" t="s">
        <v>38</v>
      </c>
      <c r="F227" s="15"/>
      <c r="G227" s="22"/>
      <c r="H227" s="20"/>
    </row>
    <row r="228" spans="4:11" ht="12" customHeight="1" x14ac:dyDescent="0.3">
      <c r="D228" s="50"/>
      <c r="E228" s="23" t="s">
        <v>34</v>
      </c>
      <c r="F228" s="10">
        <v>7267.79</v>
      </c>
      <c r="G228" s="21"/>
      <c r="H228" s="20"/>
    </row>
    <row r="229" spans="4:11" ht="12" hidden="1" customHeight="1" x14ac:dyDescent="0.3">
      <c r="D229" s="50"/>
      <c r="E229" s="23" t="s">
        <v>8</v>
      </c>
      <c r="F229" s="21">
        <v>0</v>
      </c>
      <c r="G229" s="24"/>
      <c r="H229" s="14"/>
    </row>
    <row r="230" spans="4:11" ht="12" customHeight="1" x14ac:dyDescent="0.3">
      <c r="D230" s="50"/>
      <c r="E230" s="23" t="s">
        <v>9</v>
      </c>
      <c r="F230" s="25">
        <v>16257.58</v>
      </c>
      <c r="G230" s="21">
        <f>SUM(F228:F230)</f>
        <v>23525.37</v>
      </c>
      <c r="H230" s="20">
        <f>+G230/G250</f>
        <v>1.1881106243337531E-3</v>
      </c>
    </row>
    <row r="231" spans="4:11" ht="12" customHeight="1" x14ac:dyDescent="0.3">
      <c r="D231" s="50"/>
      <c r="E231" s="14" t="s">
        <v>39</v>
      </c>
      <c r="F231" s="10"/>
      <c r="G231" s="22"/>
      <c r="H231" s="20"/>
      <c r="K231" s="1">
        <f>33.79+15.23+0.12+4.66+46.2</f>
        <v>100</v>
      </c>
    </row>
    <row r="232" spans="4:11" ht="12" customHeight="1" x14ac:dyDescent="0.3">
      <c r="D232" s="50"/>
      <c r="E232" s="23" t="s">
        <v>33</v>
      </c>
      <c r="F232" s="10">
        <v>257788.86</v>
      </c>
      <c r="G232" s="22"/>
      <c r="H232" s="20"/>
      <c r="K232" s="1">
        <f>53.8+46.2</f>
        <v>100</v>
      </c>
    </row>
    <row r="233" spans="4:11" ht="12" customHeight="1" x14ac:dyDescent="0.3">
      <c r="D233" s="50"/>
      <c r="E233" s="23" t="s">
        <v>6</v>
      </c>
      <c r="F233" s="21">
        <v>139822.47</v>
      </c>
      <c r="G233" s="22"/>
      <c r="H233" s="20"/>
    </row>
    <row r="234" spans="4:11" ht="12" customHeight="1" x14ac:dyDescent="0.3">
      <c r="D234" s="50"/>
      <c r="E234" s="23" t="s">
        <v>7</v>
      </c>
      <c r="F234" s="21">
        <v>120136.63</v>
      </c>
      <c r="G234" s="22"/>
      <c r="H234" s="20"/>
    </row>
    <row r="235" spans="4:11" ht="12" customHeight="1" x14ac:dyDescent="0.3">
      <c r="D235" s="50"/>
      <c r="E235" s="23" t="s">
        <v>31</v>
      </c>
      <c r="F235" s="21">
        <v>373566.97</v>
      </c>
      <c r="G235" s="22"/>
      <c r="H235" s="20"/>
    </row>
    <row r="236" spans="4:11" ht="12" customHeight="1" x14ac:dyDescent="0.3">
      <c r="D236" s="50"/>
      <c r="E236" s="23" t="s">
        <v>32</v>
      </c>
      <c r="F236" s="25">
        <v>32382.48</v>
      </c>
      <c r="G236" s="5">
        <f>SUM(F232:F237)</f>
        <v>923697.40999999992</v>
      </c>
      <c r="H236" s="26">
        <f>+G236/G250</f>
        <v>4.6649838301823551E-2</v>
      </c>
    </row>
    <row r="237" spans="4:11" ht="12" hidden="1" customHeight="1" x14ac:dyDescent="0.3">
      <c r="D237" s="50"/>
      <c r="E237" s="23" t="s">
        <v>40</v>
      </c>
      <c r="F237" s="25">
        <v>0</v>
      </c>
    </row>
    <row r="238" spans="4:11" ht="2.4" customHeight="1" x14ac:dyDescent="0.3">
      <c r="D238" s="50"/>
      <c r="E238" s="14"/>
      <c r="F238" s="15"/>
      <c r="G238" s="21"/>
      <c r="H238" s="20"/>
    </row>
    <row r="239" spans="4:11" ht="12" customHeight="1" x14ac:dyDescent="0.3">
      <c r="D239" s="50"/>
      <c r="E239" s="27" t="s">
        <v>41</v>
      </c>
      <c r="F239" s="15"/>
      <c r="G239" s="28">
        <f>SUM(G225:G236)</f>
        <v>10652350.439999999</v>
      </c>
      <c r="H239" s="29">
        <f>+G239/G250</f>
        <v>0.53797966756273463</v>
      </c>
    </row>
    <row r="240" spans="4:11" ht="6" customHeight="1" x14ac:dyDescent="0.3">
      <c r="D240" s="50"/>
      <c r="E240" s="27"/>
      <c r="F240" s="15"/>
      <c r="G240" s="30"/>
      <c r="H240" s="31"/>
    </row>
    <row r="241" spans="4:8" ht="12" hidden="1" customHeight="1" x14ac:dyDescent="0.3">
      <c r="D241" s="50" t="s">
        <v>35</v>
      </c>
      <c r="E241" s="32"/>
      <c r="F241" s="21"/>
      <c r="G241" s="15"/>
      <c r="H241" s="20"/>
    </row>
    <row r="242" spans="4:8" ht="12" hidden="1" customHeight="1" x14ac:dyDescent="0.3">
      <c r="D242" s="50"/>
      <c r="E242" s="33" t="s">
        <v>42</v>
      </c>
      <c r="F242" s="34"/>
      <c r="G242" s="10">
        <v>0</v>
      </c>
      <c r="H242" s="35">
        <f>+G242/G250</f>
        <v>0</v>
      </c>
    </row>
    <row r="243" spans="4:8" ht="6" customHeight="1" x14ac:dyDescent="0.3">
      <c r="D243" s="50"/>
      <c r="E243" s="27"/>
      <c r="F243" s="15"/>
      <c r="G243" s="30"/>
      <c r="H243" s="31"/>
    </row>
    <row r="244" spans="4:8" ht="12" customHeight="1" x14ac:dyDescent="0.3">
      <c r="D244" s="50" t="s">
        <v>10</v>
      </c>
      <c r="E244" s="14"/>
      <c r="F244" s="15"/>
      <c r="G244" s="21"/>
      <c r="H244" s="20"/>
    </row>
    <row r="245" spans="4:8" ht="12" customHeight="1" x14ac:dyDescent="0.3">
      <c r="D245" s="50"/>
      <c r="E245" s="14" t="s">
        <v>11</v>
      </c>
      <c r="F245" s="10">
        <v>6606735.2400000002</v>
      </c>
      <c r="G245" s="21"/>
      <c r="H245" s="20"/>
    </row>
    <row r="246" spans="4:8" ht="12" customHeight="1" x14ac:dyDescent="0.3">
      <c r="D246" s="50"/>
      <c r="E246" s="14" t="s">
        <v>12</v>
      </c>
      <c r="F246" s="25">
        <v>2541570.52</v>
      </c>
      <c r="G246" s="25">
        <f>SUM(F245:F246)</f>
        <v>9148305.7599999998</v>
      </c>
      <c r="H246" s="36">
        <f>+G246/G250</f>
        <v>0.46202033243726537</v>
      </c>
    </row>
    <row r="247" spans="4:8" ht="2.4" customHeight="1" x14ac:dyDescent="0.3">
      <c r="D247" s="50"/>
      <c r="E247" s="32"/>
      <c r="F247" s="21"/>
      <c r="G247" s="15"/>
      <c r="H247" s="20"/>
    </row>
    <row r="248" spans="4:8" ht="12" customHeight="1" x14ac:dyDescent="0.3">
      <c r="D248" s="50"/>
      <c r="E248" s="27" t="s">
        <v>41</v>
      </c>
      <c r="F248" s="15"/>
      <c r="G248" s="28">
        <f>SUM(G242:G246)</f>
        <v>9148305.7599999998</v>
      </c>
      <c r="H248" s="29">
        <f>+H242+H246</f>
        <v>0.46202033243726537</v>
      </c>
    </row>
    <row r="249" spans="4:8" ht="2.4" customHeight="1" x14ac:dyDescent="0.3">
      <c r="D249" s="50"/>
      <c r="E249" s="32"/>
      <c r="F249" s="21"/>
      <c r="G249" s="15"/>
      <c r="H249" s="20"/>
    </row>
    <row r="250" spans="4:8" ht="12.6" customHeight="1" thickBot="1" x14ac:dyDescent="0.35">
      <c r="D250" s="50"/>
      <c r="E250" s="37" t="s">
        <v>13</v>
      </c>
      <c r="F250" s="21"/>
      <c r="G250" s="38">
        <f>+G239+G248</f>
        <v>19800656.199999999</v>
      </c>
      <c r="H250" s="39">
        <f>+H239+H248</f>
        <v>1</v>
      </c>
    </row>
    <row r="251" spans="4:8" ht="6" customHeight="1" thickTop="1" x14ac:dyDescent="0.3">
      <c r="D251" s="51"/>
      <c r="E251" s="40"/>
      <c r="F251" s="41"/>
      <c r="G251" s="41"/>
      <c r="H251" s="36"/>
    </row>
    <row r="252" spans="4:8" x14ac:dyDescent="0.3">
      <c r="D252" s="52"/>
      <c r="E252" s="6"/>
      <c r="F252" s="7"/>
      <c r="G252" s="7"/>
      <c r="H252" s="8"/>
    </row>
    <row r="253" spans="4:8" x14ac:dyDescent="0.3">
      <c r="D253" s="52"/>
      <c r="E253" s="6"/>
      <c r="F253" s="7"/>
      <c r="G253" s="7"/>
      <c r="H253" s="8"/>
    </row>
    <row r="254" spans="4:8" x14ac:dyDescent="0.3">
      <c r="D254" s="52"/>
      <c r="E254" s="6"/>
      <c r="F254" s="7"/>
      <c r="G254" s="7"/>
      <c r="H254" s="8"/>
    </row>
    <row r="255" spans="4:8" ht="14.4" x14ac:dyDescent="0.3">
      <c r="D255" s="55" t="s">
        <v>19</v>
      </c>
      <c r="E255" s="55"/>
      <c r="F255" s="55"/>
      <c r="G255" s="55"/>
      <c r="H255" s="55"/>
    </row>
    <row r="256" spans="4:8" ht="6" customHeight="1" x14ac:dyDescent="0.3"/>
    <row r="257" spans="4:11" ht="12" customHeight="1" x14ac:dyDescent="0.3">
      <c r="D257" s="53" t="s">
        <v>1</v>
      </c>
      <c r="E257" s="54"/>
      <c r="F257" s="11" t="s">
        <v>36</v>
      </c>
      <c r="G257" s="12" t="s">
        <v>2</v>
      </c>
      <c r="H257" s="13" t="s">
        <v>3</v>
      </c>
    </row>
    <row r="258" spans="4:11" ht="4.8" customHeight="1" x14ac:dyDescent="0.3">
      <c r="D258" s="49"/>
      <c r="E258" s="44"/>
      <c r="F258" s="45"/>
      <c r="G258" s="46"/>
      <c r="H258" s="47"/>
    </row>
    <row r="259" spans="4:11" ht="12" customHeight="1" x14ac:dyDescent="0.3">
      <c r="D259" s="50" t="s">
        <v>37</v>
      </c>
      <c r="E259" s="14"/>
      <c r="F259" s="15"/>
      <c r="G259" s="16"/>
      <c r="H259" s="17"/>
    </row>
    <row r="260" spans="4:11" ht="12" customHeight="1" x14ac:dyDescent="0.3">
      <c r="D260" s="50"/>
      <c r="E260" s="14" t="s">
        <v>4</v>
      </c>
      <c r="F260" s="18"/>
      <c r="G260" s="19">
        <v>6808477.54</v>
      </c>
      <c r="H260" s="20">
        <f>+G260/G285</f>
        <v>0.26976294916984733</v>
      </c>
    </row>
    <row r="261" spans="4:11" ht="12" customHeight="1" x14ac:dyDescent="0.3">
      <c r="D261" s="50"/>
      <c r="E261" s="14" t="s">
        <v>5</v>
      </c>
      <c r="F261" s="15"/>
      <c r="G261" s="4">
        <v>3041315.22</v>
      </c>
      <c r="H261" s="20">
        <f>+G261/G285</f>
        <v>0.12050185350282336</v>
      </c>
    </row>
    <row r="262" spans="4:11" ht="12" customHeight="1" x14ac:dyDescent="0.3">
      <c r="D262" s="50"/>
      <c r="E262" s="14" t="s">
        <v>38</v>
      </c>
      <c r="F262" s="15"/>
      <c r="G262" s="22"/>
      <c r="H262" s="20"/>
    </row>
    <row r="263" spans="4:11" ht="12" customHeight="1" x14ac:dyDescent="0.3">
      <c r="D263" s="50"/>
      <c r="E263" s="23" t="s">
        <v>34</v>
      </c>
      <c r="F263" s="10">
        <v>2622.91</v>
      </c>
      <c r="G263" s="21"/>
      <c r="H263" s="20"/>
    </row>
    <row r="264" spans="4:11" ht="12" customHeight="1" x14ac:dyDescent="0.3">
      <c r="D264" s="50"/>
      <c r="E264" s="23" t="s">
        <v>8</v>
      </c>
      <c r="F264" s="21">
        <v>32986.550000000003</v>
      </c>
      <c r="G264" s="24"/>
      <c r="H264" s="14"/>
    </row>
    <row r="265" spans="4:11" ht="12" customHeight="1" x14ac:dyDescent="0.3">
      <c r="D265" s="50"/>
      <c r="E265" s="23" t="s">
        <v>9</v>
      </c>
      <c r="F265" s="25">
        <v>8350.5</v>
      </c>
      <c r="G265" s="21">
        <f>SUM(F263:F265)</f>
        <v>43959.960000000006</v>
      </c>
      <c r="H265" s="20">
        <f>+G265/G285</f>
        <v>1.741765084090815E-3</v>
      </c>
    </row>
    <row r="266" spans="4:11" ht="12" customHeight="1" x14ac:dyDescent="0.3">
      <c r="D266" s="50"/>
      <c r="E266" s="14" t="s">
        <v>39</v>
      </c>
      <c r="F266" s="10"/>
      <c r="G266" s="22"/>
      <c r="H266" s="20"/>
      <c r="K266" s="1">
        <f>26.98+12.05+0.17+7.36+53.44</f>
        <v>100</v>
      </c>
    </row>
    <row r="267" spans="4:11" ht="12" customHeight="1" x14ac:dyDescent="0.3">
      <c r="D267" s="50"/>
      <c r="E267" s="23" t="s">
        <v>33</v>
      </c>
      <c r="F267" s="10">
        <v>254688.1</v>
      </c>
      <c r="G267" s="22"/>
      <c r="H267" s="20"/>
      <c r="K267" s="1">
        <f>46.56+53.44</f>
        <v>100</v>
      </c>
    </row>
    <row r="268" spans="4:11" ht="12" customHeight="1" x14ac:dyDescent="0.3">
      <c r="D268" s="50"/>
      <c r="E268" s="23" t="s">
        <v>6</v>
      </c>
      <c r="F268" s="21">
        <v>278029.77</v>
      </c>
      <c r="G268" s="22"/>
      <c r="H268" s="20"/>
    </row>
    <row r="269" spans="4:11" ht="12" customHeight="1" x14ac:dyDescent="0.3">
      <c r="D269" s="50"/>
      <c r="E269" s="23" t="s">
        <v>7</v>
      </c>
      <c r="F269" s="21">
        <v>240805.12</v>
      </c>
      <c r="G269" s="22"/>
      <c r="H269" s="20"/>
    </row>
    <row r="270" spans="4:11" ht="12" customHeight="1" x14ac:dyDescent="0.3">
      <c r="D270" s="50"/>
      <c r="E270" s="23" t="s">
        <v>31</v>
      </c>
      <c r="F270" s="21">
        <v>697601.78</v>
      </c>
      <c r="G270" s="22"/>
      <c r="H270" s="20"/>
    </row>
    <row r="271" spans="4:11" ht="12" customHeight="1" x14ac:dyDescent="0.3">
      <c r="D271" s="50"/>
      <c r="E271" s="23" t="s">
        <v>32</v>
      </c>
      <c r="F271" s="21">
        <v>41506.519999999997</v>
      </c>
      <c r="G271" s="22"/>
      <c r="H271" s="20"/>
    </row>
    <row r="272" spans="4:11" ht="12" customHeight="1" x14ac:dyDescent="0.3">
      <c r="D272" s="50"/>
      <c r="E272" s="23" t="s">
        <v>40</v>
      </c>
      <c r="F272" s="25">
        <v>345155</v>
      </c>
      <c r="G272" s="5">
        <f>SUM(F267:F272)</f>
        <v>1857786.29</v>
      </c>
      <c r="H272" s="26">
        <f>+G272/G285</f>
        <v>7.3608513147523633E-2</v>
      </c>
    </row>
    <row r="273" spans="4:8" ht="2.4" customHeight="1" x14ac:dyDescent="0.3">
      <c r="D273" s="50"/>
      <c r="E273" s="14"/>
      <c r="F273" s="15"/>
      <c r="G273" s="21"/>
      <c r="H273" s="20"/>
    </row>
    <row r="274" spans="4:8" ht="12" customHeight="1" x14ac:dyDescent="0.3">
      <c r="D274" s="50"/>
      <c r="E274" s="27" t="s">
        <v>41</v>
      </c>
      <c r="F274" s="15"/>
      <c r="G274" s="28">
        <f>SUM(G260:G272)</f>
        <v>11751539.010000002</v>
      </c>
      <c r="H274" s="29">
        <f>+G274/G285</f>
        <v>0.46561508090428522</v>
      </c>
    </row>
    <row r="275" spans="4:8" ht="6" customHeight="1" x14ac:dyDescent="0.3">
      <c r="D275" s="50"/>
      <c r="E275" s="27"/>
      <c r="F275" s="15"/>
      <c r="G275" s="30"/>
      <c r="H275" s="31"/>
    </row>
    <row r="276" spans="4:8" ht="12" hidden="1" customHeight="1" x14ac:dyDescent="0.3">
      <c r="D276" s="50" t="s">
        <v>35</v>
      </c>
      <c r="E276" s="32"/>
      <c r="F276" s="21"/>
      <c r="G276" s="15"/>
      <c r="H276" s="20"/>
    </row>
    <row r="277" spans="4:8" ht="12" hidden="1" customHeight="1" x14ac:dyDescent="0.3">
      <c r="D277" s="50"/>
      <c r="E277" s="33" t="s">
        <v>42</v>
      </c>
      <c r="F277" s="34"/>
      <c r="G277" s="10">
        <v>0</v>
      </c>
      <c r="H277" s="35">
        <f>+G277/G285</f>
        <v>0</v>
      </c>
    </row>
    <row r="278" spans="4:8" ht="6" customHeight="1" x14ac:dyDescent="0.3">
      <c r="D278" s="50"/>
      <c r="E278" s="27"/>
      <c r="F278" s="15"/>
      <c r="G278" s="30"/>
      <c r="H278" s="31"/>
    </row>
    <row r="279" spans="4:8" ht="12" customHeight="1" x14ac:dyDescent="0.3">
      <c r="D279" s="50" t="s">
        <v>10</v>
      </c>
      <c r="E279" s="14"/>
      <c r="F279" s="15"/>
      <c r="G279" s="21"/>
      <c r="H279" s="20"/>
    </row>
    <row r="280" spans="4:8" ht="12" customHeight="1" x14ac:dyDescent="0.3">
      <c r="D280" s="50"/>
      <c r="E280" s="14" t="s">
        <v>11</v>
      </c>
      <c r="F280" s="10">
        <v>8548100.7899999991</v>
      </c>
      <c r="G280" s="21"/>
      <c r="H280" s="20"/>
    </row>
    <row r="281" spans="4:8" ht="12" customHeight="1" x14ac:dyDescent="0.3">
      <c r="D281" s="50"/>
      <c r="E281" s="14" t="s">
        <v>12</v>
      </c>
      <c r="F281" s="25">
        <v>4939102.4400000004</v>
      </c>
      <c r="G281" s="25">
        <f>SUM(F280:F281)</f>
        <v>13487203.23</v>
      </c>
      <c r="H281" s="36">
        <f>+G281/G285</f>
        <v>0.53438491909571484</v>
      </c>
    </row>
    <row r="282" spans="4:8" ht="2.4" customHeight="1" x14ac:dyDescent="0.3">
      <c r="D282" s="50"/>
      <c r="E282" s="32"/>
      <c r="F282" s="21"/>
      <c r="G282" s="15"/>
      <c r="H282" s="20"/>
    </row>
    <row r="283" spans="4:8" ht="12" customHeight="1" x14ac:dyDescent="0.3">
      <c r="D283" s="50"/>
      <c r="E283" s="27" t="s">
        <v>41</v>
      </c>
      <c r="F283" s="15"/>
      <c r="G283" s="28">
        <f>SUM(G277:G281)</f>
        <v>13487203.23</v>
      </c>
      <c r="H283" s="29">
        <f>+H277+H281</f>
        <v>0.53438491909571484</v>
      </c>
    </row>
    <row r="284" spans="4:8" ht="2.4" customHeight="1" x14ac:dyDescent="0.3">
      <c r="D284" s="50"/>
      <c r="E284" s="32"/>
      <c r="F284" s="21"/>
      <c r="G284" s="15"/>
      <c r="H284" s="20"/>
    </row>
    <row r="285" spans="4:8" ht="12.6" customHeight="1" thickBot="1" x14ac:dyDescent="0.35">
      <c r="D285" s="50"/>
      <c r="E285" s="37" t="s">
        <v>13</v>
      </c>
      <c r="F285" s="21"/>
      <c r="G285" s="38">
        <f>+G274+G283</f>
        <v>25238742.240000002</v>
      </c>
      <c r="H285" s="39">
        <f>+H274+H283</f>
        <v>1</v>
      </c>
    </row>
    <row r="286" spans="4:8" ht="6" customHeight="1" thickTop="1" x14ac:dyDescent="0.3">
      <c r="D286" s="51"/>
      <c r="E286" s="40"/>
      <c r="F286" s="41"/>
      <c r="G286" s="41"/>
      <c r="H286" s="36"/>
    </row>
    <row r="288" spans="4:8" ht="14.4" x14ac:dyDescent="0.3">
      <c r="D288" s="55" t="s">
        <v>20</v>
      </c>
      <c r="E288" s="55"/>
      <c r="F288" s="55"/>
      <c r="G288" s="55"/>
      <c r="H288" s="55"/>
    </row>
    <row r="289" spans="4:11" ht="6" customHeight="1" x14ac:dyDescent="0.3"/>
    <row r="290" spans="4:11" ht="12" customHeight="1" x14ac:dyDescent="0.3">
      <c r="D290" s="53" t="s">
        <v>1</v>
      </c>
      <c r="E290" s="54"/>
      <c r="F290" s="11" t="s">
        <v>36</v>
      </c>
      <c r="G290" s="12" t="s">
        <v>2</v>
      </c>
      <c r="H290" s="13" t="s">
        <v>3</v>
      </c>
    </row>
    <row r="291" spans="4:11" ht="4.8" customHeight="1" x14ac:dyDescent="0.3">
      <c r="D291" s="49"/>
      <c r="E291" s="44"/>
      <c r="F291" s="45"/>
      <c r="G291" s="46"/>
      <c r="H291" s="47"/>
    </row>
    <row r="292" spans="4:11" ht="12" customHeight="1" x14ac:dyDescent="0.3">
      <c r="D292" s="50" t="s">
        <v>37</v>
      </c>
      <c r="E292" s="14"/>
      <c r="F292" s="15"/>
      <c r="G292" s="16"/>
      <c r="H292" s="17"/>
    </row>
    <row r="293" spans="4:11" ht="12" customHeight="1" x14ac:dyDescent="0.3">
      <c r="D293" s="50"/>
      <c r="E293" s="14" t="s">
        <v>4</v>
      </c>
      <c r="F293" s="18"/>
      <c r="G293" s="19">
        <v>7942658.0599999996</v>
      </c>
      <c r="H293" s="20">
        <f>+G293/G318</f>
        <v>0.33914043598824417</v>
      </c>
    </row>
    <row r="294" spans="4:11" ht="12" customHeight="1" x14ac:dyDescent="0.3">
      <c r="D294" s="50"/>
      <c r="E294" s="14" t="s">
        <v>5</v>
      </c>
      <c r="F294" s="15"/>
      <c r="G294" s="4">
        <v>3571846</v>
      </c>
      <c r="H294" s="20">
        <f>+G294/G318</f>
        <v>0.15251284904525603</v>
      </c>
    </row>
    <row r="295" spans="4:11" ht="12" customHeight="1" x14ac:dyDescent="0.3">
      <c r="D295" s="50"/>
      <c r="E295" s="14" t="s">
        <v>38</v>
      </c>
      <c r="F295" s="15"/>
      <c r="G295" s="22"/>
      <c r="H295" s="20"/>
    </row>
    <row r="296" spans="4:11" ht="12" customHeight="1" x14ac:dyDescent="0.3">
      <c r="D296" s="50"/>
      <c r="E296" s="23" t="s">
        <v>34</v>
      </c>
      <c r="G296" s="4">
        <v>6302.51</v>
      </c>
      <c r="H296" s="20">
        <f>+G296/G318</f>
        <v>2.6910839835654073E-4</v>
      </c>
    </row>
    <row r="297" spans="4:11" ht="12" hidden="1" customHeight="1" x14ac:dyDescent="0.3">
      <c r="D297" s="50"/>
      <c r="E297" s="23" t="s">
        <v>8</v>
      </c>
      <c r="F297" s="21">
        <v>0</v>
      </c>
      <c r="G297" s="24"/>
      <c r="H297" s="14"/>
    </row>
    <row r="298" spans="4:11" ht="12" hidden="1" customHeight="1" x14ac:dyDescent="0.3">
      <c r="D298" s="50"/>
      <c r="E298" s="23" t="s">
        <v>9</v>
      </c>
      <c r="F298" s="25">
        <v>0</v>
      </c>
      <c r="G298" s="21">
        <f>SUM(F296:F298)</f>
        <v>0</v>
      </c>
    </row>
    <row r="299" spans="4:11" ht="12" customHeight="1" x14ac:dyDescent="0.3">
      <c r="D299" s="50"/>
      <c r="E299" s="14" t="s">
        <v>39</v>
      </c>
      <c r="F299" s="10"/>
      <c r="G299" s="22"/>
      <c r="H299" s="20"/>
      <c r="K299" s="1">
        <f>33.91+15.25+0.03+4.23+46.58</f>
        <v>100</v>
      </c>
    </row>
    <row r="300" spans="4:11" ht="12" customHeight="1" x14ac:dyDescent="0.3">
      <c r="D300" s="50"/>
      <c r="E300" s="23" t="s">
        <v>33</v>
      </c>
      <c r="F300" s="10">
        <v>216962.2</v>
      </c>
      <c r="G300" s="22"/>
      <c r="H300" s="20"/>
      <c r="K300" s="1">
        <f>53.42+46.58</f>
        <v>100</v>
      </c>
    </row>
    <row r="301" spans="4:11" ht="12" customHeight="1" x14ac:dyDescent="0.3">
      <c r="D301" s="50"/>
      <c r="E301" s="23" t="s">
        <v>6</v>
      </c>
      <c r="F301" s="21">
        <v>183562.37</v>
      </c>
      <c r="G301" s="22"/>
      <c r="H301" s="20"/>
    </row>
    <row r="302" spans="4:11" ht="12" customHeight="1" x14ac:dyDescent="0.3">
      <c r="D302" s="50"/>
      <c r="E302" s="23" t="s">
        <v>7</v>
      </c>
      <c r="F302" s="21">
        <v>156963.78</v>
      </c>
      <c r="G302" s="22"/>
      <c r="H302" s="20"/>
    </row>
    <row r="303" spans="4:11" ht="12" customHeight="1" x14ac:dyDescent="0.3">
      <c r="D303" s="50"/>
      <c r="E303" s="23" t="s">
        <v>31</v>
      </c>
      <c r="F303" s="21">
        <v>402242.41</v>
      </c>
      <c r="G303" s="22"/>
      <c r="H303" s="20"/>
    </row>
    <row r="304" spans="4:11" ht="12" customHeight="1" x14ac:dyDescent="0.3">
      <c r="D304" s="50"/>
      <c r="E304" s="23" t="s">
        <v>32</v>
      </c>
      <c r="F304" s="25">
        <v>31485.59</v>
      </c>
      <c r="G304" s="5">
        <f>SUM(F300:F305)</f>
        <v>991216.35</v>
      </c>
      <c r="H304" s="26">
        <f>+G304/G318</f>
        <v>4.2323557499046614E-2</v>
      </c>
    </row>
    <row r="305" spans="4:8" ht="12" hidden="1" customHeight="1" x14ac:dyDescent="0.3">
      <c r="D305" s="50"/>
      <c r="E305" s="23" t="s">
        <v>40</v>
      </c>
      <c r="F305" s="25">
        <v>0</v>
      </c>
    </row>
    <row r="306" spans="4:8" ht="2.4" customHeight="1" x14ac:dyDescent="0.3">
      <c r="D306" s="50"/>
      <c r="E306" s="14"/>
      <c r="F306" s="15"/>
      <c r="G306" s="21"/>
      <c r="H306" s="20"/>
    </row>
    <row r="307" spans="4:8" ht="12" customHeight="1" x14ac:dyDescent="0.3">
      <c r="D307" s="50"/>
      <c r="E307" s="27" t="s">
        <v>41</v>
      </c>
      <c r="F307" s="15"/>
      <c r="G307" s="28">
        <f>SUM(G293:G304)</f>
        <v>12512022.919999998</v>
      </c>
      <c r="H307" s="29">
        <f>+G307/G318</f>
        <v>0.53424595093090332</v>
      </c>
    </row>
    <row r="308" spans="4:8" ht="6" customHeight="1" x14ac:dyDescent="0.3">
      <c r="D308" s="50"/>
      <c r="E308" s="27"/>
      <c r="F308" s="15"/>
      <c r="G308" s="30"/>
      <c r="H308" s="31"/>
    </row>
    <row r="309" spans="4:8" ht="12" hidden="1" customHeight="1" x14ac:dyDescent="0.3">
      <c r="D309" s="50" t="s">
        <v>35</v>
      </c>
      <c r="E309" s="32"/>
      <c r="F309" s="21"/>
      <c r="G309" s="15"/>
      <c r="H309" s="20"/>
    </row>
    <row r="310" spans="4:8" ht="12" hidden="1" customHeight="1" x14ac:dyDescent="0.3">
      <c r="D310" s="50"/>
      <c r="E310" s="33" t="s">
        <v>42</v>
      </c>
      <c r="F310" s="34"/>
      <c r="G310" s="10">
        <v>0</v>
      </c>
      <c r="H310" s="35">
        <f>+G310/G318</f>
        <v>0</v>
      </c>
    </row>
    <row r="311" spans="4:8" ht="6" customHeight="1" x14ac:dyDescent="0.3">
      <c r="D311" s="50"/>
      <c r="E311" s="27"/>
      <c r="F311" s="15"/>
      <c r="G311" s="30"/>
      <c r="H311" s="31"/>
    </row>
    <row r="312" spans="4:8" ht="12" customHeight="1" x14ac:dyDescent="0.3">
      <c r="D312" s="50" t="s">
        <v>10</v>
      </c>
      <c r="E312" s="14"/>
      <c r="F312" s="15"/>
      <c r="G312" s="21"/>
      <c r="H312" s="20"/>
    </row>
    <row r="313" spans="4:8" ht="12" customHeight="1" x14ac:dyDescent="0.3">
      <c r="D313" s="50"/>
      <c r="E313" s="14" t="s">
        <v>11</v>
      </c>
      <c r="F313" s="10">
        <v>7537613.7599999998</v>
      </c>
      <c r="G313" s="21"/>
      <c r="H313" s="20"/>
    </row>
    <row r="314" spans="4:8" ht="12" customHeight="1" x14ac:dyDescent="0.3">
      <c r="D314" s="50"/>
      <c r="E314" s="14" t="s">
        <v>12</v>
      </c>
      <c r="F314" s="25">
        <v>3370331.03</v>
      </c>
      <c r="G314" s="25">
        <f>SUM(F313:F314)</f>
        <v>10907944.789999999</v>
      </c>
      <c r="H314" s="36">
        <f>+G314/G318</f>
        <v>0.46575404906909673</v>
      </c>
    </row>
    <row r="315" spans="4:8" ht="2.4" customHeight="1" x14ac:dyDescent="0.3">
      <c r="D315" s="50"/>
      <c r="E315" s="32"/>
      <c r="F315" s="21"/>
      <c r="G315" s="15"/>
      <c r="H315" s="20"/>
    </row>
    <row r="316" spans="4:8" ht="12" customHeight="1" x14ac:dyDescent="0.3">
      <c r="D316" s="50"/>
      <c r="E316" s="27" t="s">
        <v>41</v>
      </c>
      <c r="F316" s="15"/>
      <c r="G316" s="28">
        <f>SUM(G310:G314)</f>
        <v>10907944.789999999</v>
      </c>
      <c r="H316" s="29">
        <f>+H310+H314</f>
        <v>0.46575404906909673</v>
      </c>
    </row>
    <row r="317" spans="4:8" ht="2.4" customHeight="1" x14ac:dyDescent="0.3">
      <c r="D317" s="50"/>
      <c r="E317" s="32"/>
      <c r="F317" s="21"/>
      <c r="G317" s="15"/>
      <c r="H317" s="20"/>
    </row>
    <row r="318" spans="4:8" ht="12.6" customHeight="1" thickBot="1" x14ac:dyDescent="0.35">
      <c r="D318" s="50"/>
      <c r="E318" s="37" t="s">
        <v>13</v>
      </c>
      <c r="F318" s="21"/>
      <c r="G318" s="38">
        <f>+G307+G316</f>
        <v>23419967.709999997</v>
      </c>
      <c r="H318" s="39">
        <f>+H307+H316</f>
        <v>1</v>
      </c>
    </row>
    <row r="319" spans="4:8" ht="6" customHeight="1" thickTop="1" x14ac:dyDescent="0.3">
      <c r="D319" s="51"/>
      <c r="E319" s="40"/>
      <c r="F319" s="41"/>
      <c r="G319" s="41"/>
      <c r="H319" s="36"/>
    </row>
    <row r="320" spans="4:8" x14ac:dyDescent="0.3">
      <c r="D320" s="52"/>
      <c r="E320" s="6"/>
      <c r="F320" s="7"/>
      <c r="G320" s="7"/>
      <c r="H320" s="8"/>
    </row>
    <row r="321" spans="4:11" x14ac:dyDescent="0.3">
      <c r="D321" s="52"/>
      <c r="E321" s="6"/>
      <c r="F321" s="7"/>
      <c r="G321" s="7"/>
      <c r="H321" s="8"/>
    </row>
    <row r="322" spans="4:11" x14ac:dyDescent="0.3">
      <c r="D322" s="52"/>
      <c r="E322" s="6"/>
      <c r="F322" s="7"/>
      <c r="G322" s="7"/>
      <c r="H322" s="8"/>
    </row>
    <row r="323" spans="4:11" ht="14.4" x14ac:dyDescent="0.3">
      <c r="D323" s="55" t="s">
        <v>21</v>
      </c>
      <c r="E323" s="55"/>
      <c r="F323" s="55"/>
      <c r="G323" s="55"/>
      <c r="H323" s="55"/>
    </row>
    <row r="324" spans="4:11" ht="6" customHeight="1" x14ac:dyDescent="0.3"/>
    <row r="325" spans="4:11" ht="12" customHeight="1" x14ac:dyDescent="0.3">
      <c r="D325" s="53" t="s">
        <v>1</v>
      </c>
      <c r="E325" s="54"/>
      <c r="F325" s="11" t="s">
        <v>36</v>
      </c>
      <c r="G325" s="12" t="s">
        <v>2</v>
      </c>
      <c r="H325" s="13" t="s">
        <v>3</v>
      </c>
    </row>
    <row r="326" spans="4:11" ht="4.8" customHeight="1" x14ac:dyDescent="0.3">
      <c r="D326" s="49"/>
      <c r="E326" s="44"/>
      <c r="F326" s="45"/>
      <c r="G326" s="46"/>
      <c r="H326" s="47"/>
    </row>
    <row r="327" spans="4:11" ht="12" customHeight="1" x14ac:dyDescent="0.3">
      <c r="D327" s="50" t="s">
        <v>37</v>
      </c>
      <c r="E327" s="14"/>
      <c r="F327" s="15"/>
      <c r="G327" s="16"/>
      <c r="H327" s="17"/>
    </row>
    <row r="328" spans="4:11" ht="12" customHeight="1" x14ac:dyDescent="0.3">
      <c r="D328" s="50"/>
      <c r="E328" s="14" t="s">
        <v>4</v>
      </c>
      <c r="F328" s="18"/>
      <c r="G328" s="19">
        <v>11203690.27</v>
      </c>
      <c r="H328" s="20">
        <f>+G328/G353</f>
        <v>0.40212720281404252</v>
      </c>
    </row>
    <row r="329" spans="4:11" ht="12" customHeight="1" x14ac:dyDescent="0.3">
      <c r="D329" s="50"/>
      <c r="E329" s="14" t="s">
        <v>5</v>
      </c>
      <c r="F329" s="15"/>
      <c r="G329" s="4">
        <v>5008284.3</v>
      </c>
      <c r="H329" s="20">
        <f>+G329/G353-0.00001</f>
        <v>0.17974928537129087</v>
      </c>
    </row>
    <row r="330" spans="4:11" ht="12" customHeight="1" x14ac:dyDescent="0.3">
      <c r="D330" s="50"/>
      <c r="E330" s="14" t="s">
        <v>38</v>
      </c>
      <c r="F330" s="15"/>
      <c r="G330" s="22"/>
      <c r="H330" s="20"/>
    </row>
    <row r="331" spans="4:11" ht="12" customHeight="1" x14ac:dyDescent="0.3">
      <c r="D331" s="50"/>
      <c r="E331" s="23" t="s">
        <v>34</v>
      </c>
      <c r="G331" s="4">
        <v>5388.25</v>
      </c>
      <c r="H331" s="20">
        <f>+G331/G353</f>
        <v>1.9339716185877429E-4</v>
      </c>
    </row>
    <row r="332" spans="4:11" ht="12" hidden="1" customHeight="1" x14ac:dyDescent="0.3">
      <c r="D332" s="50"/>
      <c r="E332" s="23" t="s">
        <v>8</v>
      </c>
      <c r="F332" s="21">
        <v>0</v>
      </c>
      <c r="G332" s="24"/>
      <c r="H332" s="43"/>
    </row>
    <row r="333" spans="4:11" ht="12" hidden="1" customHeight="1" x14ac:dyDescent="0.3">
      <c r="D333" s="50"/>
      <c r="E333" s="23" t="s">
        <v>9</v>
      </c>
      <c r="F333" s="25">
        <v>0</v>
      </c>
      <c r="G333" s="21">
        <f>SUM(F331:F333)</f>
        <v>0</v>
      </c>
    </row>
    <row r="334" spans="4:11" ht="12" customHeight="1" x14ac:dyDescent="0.3">
      <c r="D334" s="50"/>
      <c r="E334" s="14" t="s">
        <v>39</v>
      </c>
      <c r="F334" s="10"/>
      <c r="G334" s="22"/>
      <c r="H334" s="20"/>
      <c r="K334" s="1">
        <f>40.21+17.97+0.02+4.73+0.13+36.94</f>
        <v>100</v>
      </c>
    </row>
    <row r="335" spans="4:11" ht="12" customHeight="1" x14ac:dyDescent="0.3">
      <c r="D335" s="50"/>
      <c r="E335" s="23" t="s">
        <v>33</v>
      </c>
      <c r="F335" s="10">
        <v>152363.06</v>
      </c>
      <c r="G335" s="22"/>
      <c r="H335" s="20"/>
      <c r="K335" s="1">
        <f>62.94+37.06</f>
        <v>100</v>
      </c>
    </row>
    <row r="336" spans="4:11" ht="12" customHeight="1" x14ac:dyDescent="0.3">
      <c r="D336" s="50"/>
      <c r="E336" s="23" t="s">
        <v>6</v>
      </c>
      <c r="F336" s="21">
        <v>330673.34999999998</v>
      </c>
      <c r="G336" s="22"/>
      <c r="H336" s="20"/>
    </row>
    <row r="337" spans="4:8" ht="12" customHeight="1" x14ac:dyDescent="0.3">
      <c r="D337" s="50"/>
      <c r="E337" s="23" t="s">
        <v>7</v>
      </c>
      <c r="F337" s="21">
        <v>280899.81</v>
      </c>
      <c r="G337" s="22"/>
      <c r="H337" s="20"/>
    </row>
    <row r="338" spans="4:8" ht="12" customHeight="1" x14ac:dyDescent="0.3">
      <c r="D338" s="50"/>
      <c r="E338" s="23" t="s">
        <v>31</v>
      </c>
      <c r="F338" s="21">
        <v>516332.28</v>
      </c>
      <c r="G338" s="22"/>
      <c r="H338" s="20"/>
    </row>
    <row r="339" spans="4:8" ht="12" customHeight="1" x14ac:dyDescent="0.3">
      <c r="D339" s="50"/>
      <c r="E339" s="23" t="s">
        <v>32</v>
      </c>
      <c r="F339" s="25">
        <v>37427.019999999997</v>
      </c>
      <c r="G339" s="5">
        <f>SUM(F335:F340)</f>
        <v>1317695.52</v>
      </c>
      <c r="H339" s="26">
        <f>+G339/G353</f>
        <v>4.7295239412058043E-2</v>
      </c>
    </row>
    <row r="340" spans="4:8" ht="12" hidden="1" customHeight="1" x14ac:dyDescent="0.3">
      <c r="D340" s="50"/>
      <c r="E340" s="23" t="s">
        <v>40</v>
      </c>
      <c r="F340" s="25">
        <v>0</v>
      </c>
    </row>
    <row r="341" spans="4:8" ht="2.4" customHeight="1" x14ac:dyDescent="0.3">
      <c r="D341" s="50"/>
      <c r="E341" s="14"/>
      <c r="F341" s="15"/>
      <c r="G341" s="21"/>
      <c r="H341" s="20"/>
    </row>
    <row r="342" spans="4:8" ht="12" customHeight="1" x14ac:dyDescent="0.3">
      <c r="D342" s="50"/>
      <c r="E342" s="27" t="s">
        <v>41</v>
      </c>
      <c r="F342" s="15"/>
      <c r="G342" s="28">
        <f>SUM(G328:G339)</f>
        <v>17535058.34</v>
      </c>
      <c r="H342" s="29">
        <f>+G342/G353</f>
        <v>0.62937512475925017</v>
      </c>
    </row>
    <row r="343" spans="4:8" ht="6" customHeight="1" x14ac:dyDescent="0.3">
      <c r="D343" s="50"/>
      <c r="E343" s="27"/>
      <c r="F343" s="15"/>
      <c r="G343" s="30"/>
      <c r="H343" s="31"/>
    </row>
    <row r="344" spans="4:8" ht="12" customHeight="1" x14ac:dyDescent="0.3">
      <c r="D344" s="50" t="s">
        <v>35</v>
      </c>
      <c r="E344" s="32"/>
      <c r="F344" s="21"/>
      <c r="G344" s="15"/>
      <c r="H344" s="20"/>
    </row>
    <row r="345" spans="4:8" ht="12" customHeight="1" x14ac:dyDescent="0.3">
      <c r="D345" s="50"/>
      <c r="E345" s="33" t="s">
        <v>42</v>
      </c>
      <c r="F345" s="34"/>
      <c r="G345" s="10">
        <v>35088</v>
      </c>
      <c r="H345" s="35">
        <f>+G345/G353</f>
        <v>1.2593921245860292E-3</v>
      </c>
    </row>
    <row r="346" spans="4:8" ht="6" customHeight="1" x14ac:dyDescent="0.3">
      <c r="D346" s="50"/>
      <c r="E346" s="27"/>
      <c r="F346" s="15"/>
      <c r="G346" s="30"/>
      <c r="H346" s="31"/>
    </row>
    <row r="347" spans="4:8" ht="12" customHeight="1" x14ac:dyDescent="0.3">
      <c r="D347" s="50" t="s">
        <v>10</v>
      </c>
      <c r="E347" s="14"/>
      <c r="F347" s="15"/>
      <c r="G347" s="21"/>
      <c r="H347" s="20"/>
    </row>
    <row r="348" spans="4:8" ht="12" customHeight="1" x14ac:dyDescent="0.3">
      <c r="D348" s="50"/>
      <c r="E348" s="14" t="s">
        <v>11</v>
      </c>
      <c r="F348" s="10">
        <v>4098546.48</v>
      </c>
      <c r="G348" s="21"/>
      <c r="H348" s="20"/>
    </row>
    <row r="349" spans="4:8" ht="12" customHeight="1" x14ac:dyDescent="0.3">
      <c r="D349" s="50"/>
      <c r="E349" s="14" t="s">
        <v>12</v>
      </c>
      <c r="F349" s="25">
        <v>6192367.54</v>
      </c>
      <c r="G349" s="25">
        <f>SUM(F348:F349)</f>
        <v>10290914.02</v>
      </c>
      <c r="H349" s="36">
        <f>+G349/G353</f>
        <v>0.3693654831161638</v>
      </c>
    </row>
    <row r="350" spans="4:8" ht="2.4" customHeight="1" x14ac:dyDescent="0.3">
      <c r="D350" s="50"/>
      <c r="E350" s="32"/>
      <c r="F350" s="21"/>
      <c r="G350" s="15"/>
      <c r="H350" s="20"/>
    </row>
    <row r="351" spans="4:8" ht="12" customHeight="1" x14ac:dyDescent="0.3">
      <c r="D351" s="50"/>
      <c r="E351" s="27" t="s">
        <v>41</v>
      </c>
      <c r="F351" s="15"/>
      <c r="G351" s="28">
        <f>SUM(G345:G349)</f>
        <v>10326002.02</v>
      </c>
      <c r="H351" s="29">
        <f>+H345+H349</f>
        <v>0.37062487524074983</v>
      </c>
    </row>
    <row r="352" spans="4:8" ht="2.4" customHeight="1" x14ac:dyDescent="0.3">
      <c r="D352" s="50"/>
      <c r="E352" s="32"/>
      <c r="F352" s="21"/>
      <c r="G352" s="15"/>
      <c r="H352" s="20"/>
    </row>
    <row r="353" spans="4:11" ht="12.6" customHeight="1" thickBot="1" x14ac:dyDescent="0.35">
      <c r="D353" s="50"/>
      <c r="E353" s="37" t="s">
        <v>13</v>
      </c>
      <c r="F353" s="21"/>
      <c r="G353" s="38">
        <f>+G342+G351</f>
        <v>27861060.359999999</v>
      </c>
      <c r="H353" s="39">
        <f>+H342+H351</f>
        <v>1</v>
      </c>
    </row>
    <row r="354" spans="4:11" ht="6" customHeight="1" thickTop="1" x14ac:dyDescent="0.3">
      <c r="D354" s="51"/>
      <c r="E354" s="40"/>
      <c r="F354" s="41"/>
      <c r="G354" s="41"/>
      <c r="H354" s="36"/>
    </row>
    <row r="355" spans="4:11" x14ac:dyDescent="0.3">
      <c r="F355" s="42"/>
    </row>
    <row r="356" spans="4:11" ht="14.4" x14ac:dyDescent="0.3">
      <c r="D356" s="55" t="s">
        <v>44</v>
      </c>
      <c r="E356" s="55"/>
      <c r="F356" s="55"/>
      <c r="G356" s="55"/>
      <c r="H356" s="55"/>
    </row>
    <row r="357" spans="4:11" ht="6" customHeight="1" x14ac:dyDescent="0.3"/>
    <row r="358" spans="4:11" ht="12" customHeight="1" x14ac:dyDescent="0.3">
      <c r="D358" s="53" t="s">
        <v>1</v>
      </c>
      <c r="E358" s="54"/>
      <c r="F358" s="11" t="s">
        <v>36</v>
      </c>
      <c r="G358" s="12" t="s">
        <v>2</v>
      </c>
      <c r="H358" s="13" t="s">
        <v>3</v>
      </c>
    </row>
    <row r="359" spans="4:11" ht="4.8" customHeight="1" x14ac:dyDescent="0.3">
      <c r="D359" s="49"/>
      <c r="E359" s="44"/>
      <c r="F359" s="45"/>
      <c r="G359" s="46"/>
      <c r="H359" s="47"/>
    </row>
    <row r="360" spans="4:11" ht="12" customHeight="1" x14ac:dyDescent="0.3">
      <c r="D360" s="50" t="s">
        <v>37</v>
      </c>
      <c r="E360" s="14"/>
      <c r="F360" s="15"/>
      <c r="G360" s="16"/>
      <c r="H360" s="17"/>
    </row>
    <row r="361" spans="4:11" ht="12" customHeight="1" x14ac:dyDescent="0.3">
      <c r="D361" s="50"/>
      <c r="E361" s="14" t="s">
        <v>4</v>
      </c>
      <c r="F361" s="18"/>
      <c r="G361" s="19">
        <v>6730270.4900000002</v>
      </c>
      <c r="H361" s="20">
        <f>+G361/G386</f>
        <v>0.35960847953769703</v>
      </c>
    </row>
    <row r="362" spans="4:11" ht="12" customHeight="1" x14ac:dyDescent="0.3">
      <c r="D362" s="50"/>
      <c r="E362" s="14" t="s">
        <v>5</v>
      </c>
      <c r="F362" s="15"/>
      <c r="G362" s="4">
        <v>3022768.47</v>
      </c>
      <c r="H362" s="20">
        <f>+G362/G386</f>
        <v>0.16151106781017219</v>
      </c>
    </row>
    <row r="363" spans="4:11" ht="12" customHeight="1" x14ac:dyDescent="0.3">
      <c r="D363" s="50"/>
      <c r="E363" s="14" t="s">
        <v>38</v>
      </c>
      <c r="F363" s="15"/>
      <c r="G363" s="22"/>
      <c r="H363" s="20"/>
    </row>
    <row r="364" spans="4:11" ht="12" customHeight="1" x14ac:dyDescent="0.3">
      <c r="D364" s="50"/>
      <c r="E364" s="23" t="s">
        <v>34</v>
      </c>
      <c r="F364" s="10">
        <v>7890.6</v>
      </c>
      <c r="G364" s="21"/>
      <c r="H364" s="20"/>
    </row>
    <row r="365" spans="4:11" ht="12" customHeight="1" x14ac:dyDescent="0.3">
      <c r="D365" s="50"/>
      <c r="E365" s="23" t="s">
        <v>8</v>
      </c>
      <c r="F365" s="21">
        <v>102789.47</v>
      </c>
      <c r="G365" s="24"/>
      <c r="H365" s="43"/>
    </row>
    <row r="366" spans="4:11" ht="12" customHeight="1" x14ac:dyDescent="0.3">
      <c r="D366" s="50"/>
      <c r="E366" s="23" t="s">
        <v>9</v>
      </c>
      <c r="F366" s="25">
        <v>97530.77</v>
      </c>
      <c r="G366" s="21">
        <f>SUM(F364:F366)</f>
        <v>208210.84000000003</v>
      </c>
      <c r="H366" s="20">
        <f>+G366/G386</f>
        <v>1.112501848282575E-2</v>
      </c>
    </row>
    <row r="367" spans="4:11" ht="12" customHeight="1" x14ac:dyDescent="0.3">
      <c r="D367" s="50"/>
      <c r="E367" s="14" t="s">
        <v>39</v>
      </c>
      <c r="F367" s="10"/>
      <c r="G367" s="22"/>
      <c r="H367" s="20"/>
      <c r="K367" s="1">
        <f>35.96+16.15+1.11+5.44+41.34</f>
        <v>100</v>
      </c>
    </row>
    <row r="368" spans="4:11" ht="12" customHeight="1" x14ac:dyDescent="0.3">
      <c r="D368" s="50"/>
      <c r="E368" s="23" t="s">
        <v>33</v>
      </c>
      <c r="F368" s="10">
        <v>257788.86</v>
      </c>
      <c r="G368" s="22"/>
      <c r="H368" s="20"/>
      <c r="K368" s="1">
        <f>58.66+41.34</f>
        <v>100</v>
      </c>
    </row>
    <row r="369" spans="4:8" ht="12" customHeight="1" x14ac:dyDescent="0.3">
      <c r="D369" s="50"/>
      <c r="E369" s="23" t="s">
        <v>6</v>
      </c>
      <c r="F369" s="21">
        <v>185406.82</v>
      </c>
      <c r="G369" s="22"/>
      <c r="H369" s="20"/>
    </row>
    <row r="370" spans="4:8" ht="12" customHeight="1" x14ac:dyDescent="0.3">
      <c r="D370" s="50"/>
      <c r="E370" s="23" t="s">
        <v>7</v>
      </c>
      <c r="F370" s="21">
        <v>162007.23000000001</v>
      </c>
      <c r="G370" s="22"/>
      <c r="H370" s="20"/>
    </row>
    <row r="371" spans="4:8" ht="12" customHeight="1" x14ac:dyDescent="0.3">
      <c r="D371" s="50"/>
      <c r="E371" s="23" t="s">
        <v>31</v>
      </c>
      <c r="F371" s="21">
        <v>366227.29</v>
      </c>
      <c r="G371" s="22"/>
      <c r="H371" s="20"/>
    </row>
    <row r="372" spans="4:8" ht="12" customHeight="1" x14ac:dyDescent="0.3">
      <c r="D372" s="50"/>
      <c r="E372" s="23" t="s">
        <v>32</v>
      </c>
      <c r="F372" s="21">
        <v>33546.300000000003</v>
      </c>
      <c r="G372" s="22"/>
      <c r="H372" s="20"/>
    </row>
    <row r="373" spans="4:8" ht="12" customHeight="1" x14ac:dyDescent="0.3">
      <c r="D373" s="50"/>
      <c r="E373" s="23" t="s">
        <v>40</v>
      </c>
      <c r="F373" s="25">
        <v>12063</v>
      </c>
      <c r="G373" s="5">
        <f>SUM(F368:F373)</f>
        <v>1017039.5</v>
      </c>
      <c r="H373" s="26">
        <f>+G373/G386+0.00001</f>
        <v>5.4351950857428256E-2</v>
      </c>
    </row>
    <row r="374" spans="4:8" ht="2.4" customHeight="1" x14ac:dyDescent="0.3">
      <c r="D374" s="50"/>
      <c r="E374" s="14"/>
      <c r="F374" s="15"/>
      <c r="G374" s="21"/>
      <c r="H374" s="20"/>
    </row>
    <row r="375" spans="4:8" ht="12" customHeight="1" x14ac:dyDescent="0.3">
      <c r="D375" s="50"/>
      <c r="E375" s="27" t="s">
        <v>41</v>
      </c>
      <c r="F375" s="15"/>
      <c r="G375" s="28">
        <f>SUM(G361:G373)</f>
        <v>10978289.300000001</v>
      </c>
      <c r="H375" s="29">
        <f>+G375/G386</f>
        <v>0.58658651668812323</v>
      </c>
    </row>
    <row r="376" spans="4:8" ht="6" customHeight="1" x14ac:dyDescent="0.3">
      <c r="D376" s="50"/>
      <c r="E376" s="27"/>
      <c r="F376" s="15"/>
      <c r="G376" s="30"/>
      <c r="H376" s="31"/>
    </row>
    <row r="377" spans="4:8" ht="12" hidden="1" customHeight="1" x14ac:dyDescent="0.3">
      <c r="D377" s="50" t="s">
        <v>35</v>
      </c>
      <c r="E377" s="32"/>
      <c r="F377" s="21"/>
      <c r="G377" s="15"/>
      <c r="H377" s="20"/>
    </row>
    <row r="378" spans="4:8" ht="12" hidden="1" customHeight="1" x14ac:dyDescent="0.3">
      <c r="D378" s="50"/>
      <c r="E378" s="33" t="s">
        <v>42</v>
      </c>
      <c r="F378" s="34"/>
      <c r="G378" s="10">
        <v>0</v>
      </c>
      <c r="H378" s="35">
        <f>+G378/G386</f>
        <v>0</v>
      </c>
    </row>
    <row r="379" spans="4:8" ht="6" customHeight="1" x14ac:dyDescent="0.3">
      <c r="D379" s="50"/>
      <c r="E379" s="27"/>
      <c r="F379" s="15"/>
      <c r="G379" s="30"/>
      <c r="H379" s="31"/>
    </row>
    <row r="380" spans="4:8" ht="12" customHeight="1" x14ac:dyDescent="0.3">
      <c r="D380" s="50" t="s">
        <v>10</v>
      </c>
      <c r="E380" s="14"/>
      <c r="F380" s="15"/>
      <c r="G380" s="21"/>
      <c r="H380" s="20"/>
    </row>
    <row r="381" spans="4:8" ht="12" customHeight="1" x14ac:dyDescent="0.3">
      <c r="D381" s="50"/>
      <c r="E381" s="14" t="s">
        <v>11</v>
      </c>
      <c r="F381" s="10">
        <v>4518723.12</v>
      </c>
      <c r="G381" s="21"/>
      <c r="H381" s="20"/>
    </row>
    <row r="382" spans="4:8" ht="12" customHeight="1" x14ac:dyDescent="0.3">
      <c r="D382" s="50"/>
      <c r="E382" s="14" t="s">
        <v>12</v>
      </c>
      <c r="F382" s="25">
        <v>3218537.61</v>
      </c>
      <c r="G382" s="25">
        <f>SUM(F381:F382)</f>
        <v>7737260.7300000004</v>
      </c>
      <c r="H382" s="36">
        <f>+G382/G386</f>
        <v>0.41341348331187677</v>
      </c>
    </row>
    <row r="383" spans="4:8" ht="2.4" customHeight="1" x14ac:dyDescent="0.3">
      <c r="D383" s="50"/>
      <c r="E383" s="32"/>
      <c r="F383" s="21"/>
      <c r="G383" s="15"/>
      <c r="H383" s="20"/>
    </row>
    <row r="384" spans="4:8" ht="12" customHeight="1" x14ac:dyDescent="0.3">
      <c r="D384" s="50"/>
      <c r="E384" s="27" t="s">
        <v>41</v>
      </c>
      <c r="F384" s="15"/>
      <c r="G384" s="28">
        <f>SUM(G378:G382)</f>
        <v>7737260.7300000004</v>
      </c>
      <c r="H384" s="29">
        <f>+H378+H382</f>
        <v>0.41341348331187677</v>
      </c>
    </row>
    <row r="385" spans="4:8" ht="2.4" customHeight="1" x14ac:dyDescent="0.3">
      <c r="D385" s="50"/>
      <c r="E385" s="32"/>
      <c r="F385" s="21"/>
      <c r="G385" s="15"/>
      <c r="H385" s="20"/>
    </row>
    <row r="386" spans="4:8" ht="12.6" customHeight="1" thickBot="1" x14ac:dyDescent="0.35">
      <c r="D386" s="50"/>
      <c r="E386" s="37" t="s">
        <v>13</v>
      </c>
      <c r="F386" s="21"/>
      <c r="G386" s="38">
        <f>+G375+G384</f>
        <v>18715550.030000001</v>
      </c>
      <c r="H386" s="39">
        <f>+H375+H384</f>
        <v>1</v>
      </c>
    </row>
    <row r="387" spans="4:8" ht="6" customHeight="1" thickTop="1" x14ac:dyDescent="0.3">
      <c r="D387" s="51"/>
      <c r="E387" s="40"/>
      <c r="F387" s="41"/>
      <c r="G387" s="41"/>
      <c r="H387" s="36"/>
    </row>
    <row r="388" spans="4:8" x14ac:dyDescent="0.3">
      <c r="D388" s="52"/>
      <c r="E388" s="6"/>
      <c r="F388" s="7"/>
      <c r="G388" s="7"/>
      <c r="H388" s="8"/>
    </row>
    <row r="389" spans="4:8" x14ac:dyDescent="0.3">
      <c r="D389" s="52"/>
      <c r="E389" s="6"/>
      <c r="F389" s="7"/>
      <c r="G389" s="7"/>
      <c r="H389" s="8"/>
    </row>
    <row r="390" spans="4:8" x14ac:dyDescent="0.3">
      <c r="D390" s="52"/>
      <c r="E390" s="6"/>
      <c r="F390" s="7"/>
      <c r="G390" s="7"/>
      <c r="H390" s="8"/>
    </row>
    <row r="391" spans="4:8" ht="14.4" x14ac:dyDescent="0.3">
      <c r="D391" s="55" t="s">
        <v>22</v>
      </c>
      <c r="E391" s="55"/>
      <c r="F391" s="55"/>
      <c r="G391" s="55"/>
      <c r="H391" s="55"/>
    </row>
    <row r="392" spans="4:8" ht="6" customHeight="1" x14ac:dyDescent="0.3"/>
    <row r="393" spans="4:8" ht="12" customHeight="1" x14ac:dyDescent="0.3">
      <c r="D393" s="53" t="s">
        <v>1</v>
      </c>
      <c r="E393" s="54"/>
      <c r="F393" s="11" t="s">
        <v>36</v>
      </c>
      <c r="G393" s="12" t="s">
        <v>2</v>
      </c>
      <c r="H393" s="13" t="s">
        <v>3</v>
      </c>
    </row>
    <row r="394" spans="4:8" ht="4.8" customHeight="1" x14ac:dyDescent="0.3">
      <c r="D394" s="49"/>
      <c r="E394" s="44"/>
      <c r="F394" s="45"/>
      <c r="G394" s="46"/>
      <c r="H394" s="47"/>
    </row>
    <row r="395" spans="4:8" ht="12" customHeight="1" x14ac:dyDescent="0.3">
      <c r="D395" s="50" t="s">
        <v>37</v>
      </c>
      <c r="E395" s="14"/>
      <c r="F395" s="15"/>
      <c r="G395" s="16"/>
      <c r="H395" s="17"/>
    </row>
    <row r="396" spans="4:8" ht="12" customHeight="1" x14ac:dyDescent="0.3">
      <c r="D396" s="50"/>
      <c r="E396" s="14" t="s">
        <v>4</v>
      </c>
      <c r="F396" s="18"/>
      <c r="G396" s="19">
        <v>20038695.23</v>
      </c>
      <c r="H396" s="20">
        <f>+G396/G421</f>
        <v>0.34857362998953551</v>
      </c>
    </row>
    <row r="397" spans="4:8" ht="12" customHeight="1" x14ac:dyDescent="0.3">
      <c r="D397" s="50"/>
      <c r="E397" s="14" t="s">
        <v>5</v>
      </c>
      <c r="F397" s="15"/>
      <c r="G397" s="4">
        <v>8944774.2899999991</v>
      </c>
      <c r="H397" s="20">
        <f>+G397/G421</f>
        <v>0.15559458377482244</v>
      </c>
    </row>
    <row r="398" spans="4:8" ht="12" customHeight="1" x14ac:dyDescent="0.3">
      <c r="D398" s="50"/>
      <c r="E398" s="14" t="s">
        <v>38</v>
      </c>
      <c r="F398" s="15"/>
      <c r="G398" s="22"/>
      <c r="H398" s="20"/>
    </row>
    <row r="399" spans="4:8" ht="12" customHeight="1" x14ac:dyDescent="0.3">
      <c r="D399" s="50"/>
      <c r="E399" s="23" t="s">
        <v>34</v>
      </c>
      <c r="F399" s="10">
        <v>29255.56</v>
      </c>
      <c r="G399" s="21"/>
      <c r="H399" s="20"/>
    </row>
    <row r="400" spans="4:8" ht="12" customHeight="1" x14ac:dyDescent="0.3">
      <c r="D400" s="50"/>
      <c r="E400" s="23" t="s">
        <v>8</v>
      </c>
      <c r="F400" s="21">
        <v>104773.6</v>
      </c>
      <c r="G400" s="24"/>
      <c r="H400" s="43"/>
    </row>
    <row r="401" spans="4:11" ht="12" customHeight="1" x14ac:dyDescent="0.3">
      <c r="D401" s="50"/>
      <c r="E401" s="23" t="s">
        <v>9</v>
      </c>
      <c r="F401" s="25">
        <v>102560.9</v>
      </c>
      <c r="G401" s="21">
        <f>SUM(F399:F401)</f>
        <v>236590.06</v>
      </c>
      <c r="H401" s="20">
        <f>+G401/G421</f>
        <v>4.115490309477699E-3</v>
      </c>
    </row>
    <row r="402" spans="4:11" ht="12" customHeight="1" x14ac:dyDescent="0.3">
      <c r="D402" s="50"/>
      <c r="E402" s="14" t="s">
        <v>39</v>
      </c>
      <c r="F402" s="10"/>
      <c r="G402" s="22"/>
      <c r="H402" s="20"/>
      <c r="K402" s="1">
        <f>34.86+15.56+0.41+4.76+44.41</f>
        <v>100</v>
      </c>
    </row>
    <row r="403" spans="4:11" ht="12" customHeight="1" x14ac:dyDescent="0.3">
      <c r="D403" s="50"/>
      <c r="E403" s="23" t="s">
        <v>33</v>
      </c>
      <c r="F403" s="10">
        <v>83112.78</v>
      </c>
      <c r="G403" s="22"/>
      <c r="H403" s="20"/>
      <c r="K403" s="1">
        <f>55.59+44.41</f>
        <v>100</v>
      </c>
    </row>
    <row r="404" spans="4:11" ht="12" customHeight="1" x14ac:dyDescent="0.3">
      <c r="D404" s="50"/>
      <c r="E404" s="23" t="s">
        <v>6</v>
      </c>
      <c r="F404" s="21">
        <v>734866.92</v>
      </c>
      <c r="G404" s="22"/>
      <c r="H404" s="20"/>
    </row>
    <row r="405" spans="4:11" ht="12" customHeight="1" x14ac:dyDescent="0.3">
      <c r="D405" s="50"/>
      <c r="E405" s="23" t="s">
        <v>7</v>
      </c>
      <c r="F405" s="21">
        <v>636633.88</v>
      </c>
      <c r="G405" s="22"/>
      <c r="H405" s="20"/>
    </row>
    <row r="406" spans="4:11" ht="12" customHeight="1" x14ac:dyDescent="0.3">
      <c r="D406" s="50"/>
      <c r="E406" s="23" t="s">
        <v>31</v>
      </c>
      <c r="F406" s="21">
        <v>1215981.6000000001</v>
      </c>
      <c r="G406" s="22"/>
      <c r="H406" s="20"/>
    </row>
    <row r="407" spans="4:11" ht="12" customHeight="1" x14ac:dyDescent="0.3">
      <c r="D407" s="50"/>
      <c r="E407" s="23" t="s">
        <v>32</v>
      </c>
      <c r="F407" s="25">
        <v>69090.100000000006</v>
      </c>
      <c r="G407" s="5">
        <f>SUM(F403:F408)</f>
        <v>2739685.2800000003</v>
      </c>
      <c r="H407" s="26">
        <f>+G407/G421-0.00001</f>
        <v>4.7646897423580255E-2</v>
      </c>
    </row>
    <row r="408" spans="4:11" ht="12" hidden="1" customHeight="1" x14ac:dyDescent="0.3">
      <c r="D408" s="50"/>
      <c r="E408" s="23" t="s">
        <v>40</v>
      </c>
      <c r="F408" s="25">
        <v>0</v>
      </c>
    </row>
    <row r="409" spans="4:11" ht="2.4" customHeight="1" x14ac:dyDescent="0.3">
      <c r="D409" s="50"/>
      <c r="E409" s="14"/>
      <c r="F409" s="15"/>
      <c r="G409" s="21"/>
      <c r="H409" s="20"/>
    </row>
    <row r="410" spans="4:11" ht="12" customHeight="1" x14ac:dyDescent="0.3">
      <c r="D410" s="50"/>
      <c r="E410" s="27" t="s">
        <v>41</v>
      </c>
      <c r="F410" s="15"/>
      <c r="G410" s="28">
        <f>SUM(G396:G407)</f>
        <v>31959744.859999999</v>
      </c>
      <c r="H410" s="29">
        <f>+G410/G421</f>
        <v>0.55594060149741586</v>
      </c>
    </row>
    <row r="411" spans="4:11" ht="6" customHeight="1" x14ac:dyDescent="0.3">
      <c r="D411" s="50"/>
      <c r="E411" s="27"/>
      <c r="F411" s="15"/>
      <c r="G411" s="30"/>
      <c r="H411" s="31"/>
    </row>
    <row r="412" spans="4:11" ht="12" hidden="1" customHeight="1" x14ac:dyDescent="0.3">
      <c r="D412" s="50" t="s">
        <v>35</v>
      </c>
      <c r="E412" s="32"/>
      <c r="F412" s="21"/>
      <c r="G412" s="15"/>
      <c r="H412" s="20"/>
    </row>
    <row r="413" spans="4:11" ht="12" hidden="1" customHeight="1" x14ac:dyDescent="0.3">
      <c r="D413" s="50"/>
      <c r="E413" s="33" t="s">
        <v>42</v>
      </c>
      <c r="F413" s="34"/>
      <c r="G413" s="10">
        <v>0</v>
      </c>
      <c r="H413" s="35">
        <f>+G413/G421</f>
        <v>0</v>
      </c>
    </row>
    <row r="414" spans="4:11" ht="6" customHeight="1" x14ac:dyDescent="0.3">
      <c r="D414" s="50"/>
      <c r="E414" s="27"/>
      <c r="F414" s="15"/>
      <c r="G414" s="30"/>
      <c r="H414" s="31"/>
    </row>
    <row r="415" spans="4:11" ht="12" customHeight="1" x14ac:dyDescent="0.3">
      <c r="D415" s="50" t="s">
        <v>10</v>
      </c>
      <c r="E415" s="14"/>
      <c r="F415" s="15"/>
      <c r="G415" s="21"/>
      <c r="H415" s="20"/>
    </row>
    <row r="416" spans="4:11" ht="12" customHeight="1" x14ac:dyDescent="0.3">
      <c r="D416" s="50"/>
      <c r="E416" s="14" t="s">
        <v>11</v>
      </c>
      <c r="F416" s="10">
        <v>12161801.49</v>
      </c>
      <c r="G416" s="21"/>
      <c r="H416" s="20"/>
    </row>
    <row r="417" spans="4:8" ht="12" customHeight="1" x14ac:dyDescent="0.3">
      <c r="D417" s="50"/>
      <c r="E417" s="14" t="s">
        <v>12</v>
      </c>
      <c r="F417" s="25">
        <v>13366150.67</v>
      </c>
      <c r="G417" s="25">
        <f>SUM(F416:F417)</f>
        <v>25527952.16</v>
      </c>
      <c r="H417" s="36">
        <f>+G417/G421</f>
        <v>0.44405939850258419</v>
      </c>
    </row>
    <row r="418" spans="4:8" ht="2.4" customHeight="1" x14ac:dyDescent="0.3">
      <c r="D418" s="50"/>
      <c r="E418" s="32"/>
      <c r="F418" s="21"/>
      <c r="G418" s="15"/>
      <c r="H418" s="20"/>
    </row>
    <row r="419" spans="4:8" ht="12" customHeight="1" x14ac:dyDescent="0.3">
      <c r="D419" s="50"/>
      <c r="E419" s="27" t="s">
        <v>41</v>
      </c>
      <c r="F419" s="15"/>
      <c r="G419" s="28">
        <f>SUM(G413:G417)</f>
        <v>25527952.16</v>
      </c>
      <c r="H419" s="29">
        <f>+H413+H417</f>
        <v>0.44405939850258419</v>
      </c>
    </row>
    <row r="420" spans="4:8" ht="2.4" customHeight="1" x14ac:dyDescent="0.3">
      <c r="D420" s="50"/>
      <c r="E420" s="32"/>
      <c r="F420" s="21"/>
      <c r="G420" s="15"/>
      <c r="H420" s="20"/>
    </row>
    <row r="421" spans="4:8" ht="12.6" customHeight="1" thickBot="1" x14ac:dyDescent="0.35">
      <c r="D421" s="50"/>
      <c r="E421" s="37" t="s">
        <v>13</v>
      </c>
      <c r="F421" s="21"/>
      <c r="G421" s="38">
        <f>+G410+G419</f>
        <v>57487697.019999996</v>
      </c>
      <c r="H421" s="39">
        <f>+H410+H419</f>
        <v>1</v>
      </c>
    </row>
    <row r="422" spans="4:8" ht="6" customHeight="1" thickTop="1" x14ac:dyDescent="0.3">
      <c r="D422" s="51"/>
      <c r="E422" s="40"/>
      <c r="F422" s="41"/>
      <c r="G422" s="41"/>
      <c r="H422" s="36"/>
    </row>
    <row r="423" spans="4:8" ht="5.4" customHeight="1" x14ac:dyDescent="0.3"/>
    <row r="424" spans="4:8" ht="14.4" x14ac:dyDescent="0.3">
      <c r="D424" s="55" t="s">
        <v>23</v>
      </c>
      <c r="E424" s="55"/>
      <c r="F424" s="55"/>
      <c r="G424" s="55"/>
      <c r="H424" s="55"/>
    </row>
    <row r="425" spans="4:8" ht="6" customHeight="1" x14ac:dyDescent="0.3"/>
    <row r="426" spans="4:8" ht="12" customHeight="1" x14ac:dyDescent="0.3">
      <c r="D426" s="53" t="s">
        <v>1</v>
      </c>
      <c r="E426" s="54"/>
      <c r="F426" s="11" t="s">
        <v>36</v>
      </c>
      <c r="G426" s="12" t="s">
        <v>2</v>
      </c>
      <c r="H426" s="13" t="s">
        <v>3</v>
      </c>
    </row>
    <row r="427" spans="4:8" ht="4.8" customHeight="1" x14ac:dyDescent="0.3">
      <c r="D427" s="49"/>
      <c r="E427" s="44"/>
      <c r="F427" s="45"/>
      <c r="G427" s="46"/>
      <c r="H427" s="47"/>
    </row>
    <row r="428" spans="4:8" ht="12" customHeight="1" x14ac:dyDescent="0.3">
      <c r="D428" s="50" t="s">
        <v>37</v>
      </c>
      <c r="E428" s="14"/>
      <c r="F428" s="15"/>
      <c r="G428" s="16"/>
      <c r="H428" s="17"/>
    </row>
    <row r="429" spans="4:8" ht="12" customHeight="1" x14ac:dyDescent="0.3">
      <c r="D429" s="50"/>
      <c r="E429" s="14" t="s">
        <v>4</v>
      </c>
      <c r="F429" s="18"/>
      <c r="G429" s="19">
        <v>8759851.3200000003</v>
      </c>
      <c r="H429" s="20">
        <f>+G429/G454</f>
        <v>0.34839602071331111</v>
      </c>
    </row>
    <row r="430" spans="4:8" ht="12" customHeight="1" x14ac:dyDescent="0.3">
      <c r="D430" s="50"/>
      <c r="E430" s="14" t="s">
        <v>5</v>
      </c>
      <c r="F430" s="15"/>
      <c r="G430" s="4">
        <v>3738853.51</v>
      </c>
      <c r="H430" s="20">
        <f>+G430/G454</f>
        <v>0.14870134632764473</v>
      </c>
    </row>
    <row r="431" spans="4:8" ht="12" customHeight="1" x14ac:dyDescent="0.3">
      <c r="D431" s="50"/>
      <c r="E431" s="14" t="s">
        <v>38</v>
      </c>
      <c r="F431" s="15"/>
      <c r="G431" s="22"/>
      <c r="H431" s="20"/>
    </row>
    <row r="432" spans="4:8" ht="12" customHeight="1" x14ac:dyDescent="0.3">
      <c r="D432" s="50"/>
      <c r="E432" s="23" t="s">
        <v>34</v>
      </c>
      <c r="G432" s="4">
        <v>6988</v>
      </c>
      <c r="H432" s="20">
        <f>+G432/G454</f>
        <v>2.7792610899526296E-4</v>
      </c>
    </row>
    <row r="433" spans="4:11" ht="12" hidden="1" customHeight="1" x14ac:dyDescent="0.3">
      <c r="D433" s="50"/>
      <c r="E433" s="23" t="s">
        <v>8</v>
      </c>
      <c r="F433" s="21">
        <v>0</v>
      </c>
      <c r="G433" s="24"/>
      <c r="H433" s="14"/>
    </row>
    <row r="434" spans="4:11" ht="12" hidden="1" customHeight="1" x14ac:dyDescent="0.3">
      <c r="D434" s="50"/>
      <c r="E434" s="23" t="s">
        <v>9</v>
      </c>
      <c r="F434" s="25">
        <v>0</v>
      </c>
      <c r="G434" s="21">
        <f>SUM(F432:F434)</f>
        <v>0</v>
      </c>
    </row>
    <row r="435" spans="4:11" ht="12" customHeight="1" x14ac:dyDescent="0.3">
      <c r="D435" s="50"/>
      <c r="E435" s="14" t="s">
        <v>39</v>
      </c>
      <c r="F435" s="10"/>
      <c r="G435" s="22"/>
      <c r="H435" s="20"/>
      <c r="K435" s="1">
        <f>34.84+14.87+0.03+6+44.26</f>
        <v>100</v>
      </c>
    </row>
    <row r="436" spans="4:11" ht="12" customHeight="1" x14ac:dyDescent="0.3">
      <c r="D436" s="50"/>
      <c r="E436" s="23" t="s">
        <v>33</v>
      </c>
      <c r="F436" s="10">
        <v>206109.54</v>
      </c>
      <c r="G436" s="22"/>
      <c r="H436" s="20"/>
      <c r="K436" s="1">
        <f>55.74+44.26</f>
        <v>100</v>
      </c>
    </row>
    <row r="437" spans="4:11" ht="12" customHeight="1" x14ac:dyDescent="0.3">
      <c r="D437" s="50"/>
      <c r="E437" s="23" t="s">
        <v>6</v>
      </c>
      <c r="F437" s="21">
        <v>321466.49</v>
      </c>
      <c r="G437" s="22"/>
      <c r="H437" s="20"/>
    </row>
    <row r="438" spans="4:11" ht="12" customHeight="1" x14ac:dyDescent="0.3">
      <c r="D438" s="50"/>
      <c r="E438" s="23" t="s">
        <v>7</v>
      </c>
      <c r="F438" s="21">
        <v>280084.59000000003</v>
      </c>
      <c r="G438" s="22"/>
      <c r="H438" s="20"/>
    </row>
    <row r="439" spans="4:11" ht="12" customHeight="1" x14ac:dyDescent="0.3">
      <c r="D439" s="50"/>
      <c r="E439" s="23" t="s">
        <v>31</v>
      </c>
      <c r="F439" s="21">
        <v>646409.36</v>
      </c>
      <c r="G439" s="22"/>
      <c r="H439" s="20"/>
    </row>
    <row r="440" spans="4:11" ht="12" customHeight="1" x14ac:dyDescent="0.3">
      <c r="D440" s="50"/>
      <c r="E440" s="23" t="s">
        <v>32</v>
      </c>
      <c r="F440" s="25">
        <v>54315.64</v>
      </c>
      <c r="G440" s="5">
        <f>SUM(F436:F441)</f>
        <v>1508385.6199999999</v>
      </c>
      <c r="H440" s="26">
        <f>+G440/G454</f>
        <v>5.999137753735078E-2</v>
      </c>
    </row>
    <row r="441" spans="4:11" ht="12" hidden="1" customHeight="1" x14ac:dyDescent="0.3">
      <c r="D441" s="50"/>
      <c r="E441" s="23" t="s">
        <v>40</v>
      </c>
      <c r="F441" s="25">
        <v>0</v>
      </c>
    </row>
    <row r="442" spans="4:11" ht="2.4" customHeight="1" x14ac:dyDescent="0.3">
      <c r="D442" s="50"/>
      <c r="E442" s="14"/>
      <c r="F442" s="15"/>
      <c r="G442" s="21"/>
      <c r="H442" s="20"/>
    </row>
    <row r="443" spans="4:11" ht="12" customHeight="1" x14ac:dyDescent="0.3">
      <c r="D443" s="50"/>
      <c r="E443" s="27" t="s">
        <v>41</v>
      </c>
      <c r="F443" s="15"/>
      <c r="G443" s="28">
        <f>SUM(G429:G440)</f>
        <v>14014078.449999999</v>
      </c>
      <c r="H443" s="29">
        <f>+G443/G454</f>
        <v>0.55736667068730184</v>
      </c>
    </row>
    <row r="444" spans="4:11" ht="6" customHeight="1" x14ac:dyDescent="0.3">
      <c r="D444" s="50"/>
      <c r="E444" s="27"/>
      <c r="F444" s="15"/>
      <c r="G444" s="30"/>
      <c r="H444" s="31"/>
    </row>
    <row r="445" spans="4:11" ht="12" hidden="1" customHeight="1" x14ac:dyDescent="0.3">
      <c r="D445" s="50" t="s">
        <v>35</v>
      </c>
      <c r="E445" s="32"/>
      <c r="F445" s="21"/>
      <c r="G445" s="15"/>
      <c r="H445" s="20"/>
    </row>
    <row r="446" spans="4:11" ht="12" hidden="1" customHeight="1" x14ac:dyDescent="0.3">
      <c r="D446" s="50"/>
      <c r="E446" s="33" t="s">
        <v>42</v>
      </c>
      <c r="F446" s="34"/>
      <c r="G446" s="10">
        <v>0</v>
      </c>
      <c r="H446" s="35">
        <f>+G446/G454</f>
        <v>0</v>
      </c>
    </row>
    <row r="447" spans="4:11" ht="6" customHeight="1" x14ac:dyDescent="0.3">
      <c r="D447" s="50"/>
      <c r="E447" s="27"/>
      <c r="F447" s="15"/>
      <c r="G447" s="30"/>
      <c r="H447" s="31"/>
    </row>
    <row r="448" spans="4:11" ht="12" customHeight="1" x14ac:dyDescent="0.3">
      <c r="D448" s="50" t="s">
        <v>10</v>
      </c>
      <c r="E448" s="14"/>
      <c r="F448" s="15"/>
      <c r="G448" s="21"/>
      <c r="H448" s="20"/>
    </row>
    <row r="449" spans="4:8" ht="12" customHeight="1" x14ac:dyDescent="0.3">
      <c r="D449" s="50"/>
      <c r="E449" s="14" t="s">
        <v>11</v>
      </c>
      <c r="F449" s="10">
        <v>5420024.2199999997</v>
      </c>
      <c r="G449" s="21"/>
      <c r="H449" s="20"/>
    </row>
    <row r="450" spans="4:8" ht="12" customHeight="1" x14ac:dyDescent="0.3">
      <c r="D450" s="50"/>
      <c r="E450" s="14" t="s">
        <v>12</v>
      </c>
      <c r="F450" s="25">
        <v>5709270.96</v>
      </c>
      <c r="G450" s="25">
        <f>SUM(F449:F450)</f>
        <v>11129295.18</v>
      </c>
      <c r="H450" s="36">
        <f>+G450/G454</f>
        <v>0.44263332931269811</v>
      </c>
    </row>
    <row r="451" spans="4:8" ht="2.4" customHeight="1" x14ac:dyDescent="0.3">
      <c r="D451" s="50"/>
      <c r="E451" s="32"/>
      <c r="F451" s="21"/>
      <c r="G451" s="15"/>
      <c r="H451" s="20"/>
    </row>
    <row r="452" spans="4:8" ht="12" customHeight="1" x14ac:dyDescent="0.3">
      <c r="D452" s="50"/>
      <c r="E452" s="27" t="s">
        <v>41</v>
      </c>
      <c r="F452" s="15"/>
      <c r="G452" s="28">
        <f>SUM(G446:G450)</f>
        <v>11129295.18</v>
      </c>
      <c r="H452" s="29">
        <f>+H446+H450</f>
        <v>0.44263332931269811</v>
      </c>
    </row>
    <row r="453" spans="4:8" ht="2.4" customHeight="1" x14ac:dyDescent="0.3">
      <c r="D453" s="50"/>
      <c r="E453" s="32"/>
      <c r="F453" s="21"/>
      <c r="G453" s="15"/>
      <c r="H453" s="20"/>
    </row>
    <row r="454" spans="4:8" ht="12.6" customHeight="1" thickBot="1" x14ac:dyDescent="0.35">
      <c r="D454" s="50"/>
      <c r="E454" s="37" t="s">
        <v>13</v>
      </c>
      <c r="F454" s="21"/>
      <c r="G454" s="38">
        <f>+G443+G452</f>
        <v>25143373.629999999</v>
      </c>
      <c r="H454" s="39">
        <f>+H443+H452</f>
        <v>1</v>
      </c>
    </row>
    <row r="455" spans="4:8" ht="6" customHeight="1" thickTop="1" x14ac:dyDescent="0.3">
      <c r="D455" s="51"/>
      <c r="E455" s="40"/>
      <c r="F455" s="41"/>
      <c r="G455" s="41"/>
      <c r="H455" s="36"/>
    </row>
    <row r="456" spans="4:8" x14ac:dyDescent="0.3">
      <c r="D456" s="52"/>
      <c r="E456" s="6"/>
      <c r="F456" s="7"/>
      <c r="G456" s="7"/>
      <c r="H456" s="8"/>
    </row>
    <row r="457" spans="4:8" x14ac:dyDescent="0.3">
      <c r="D457" s="52"/>
      <c r="E457" s="6"/>
      <c r="F457" s="7"/>
      <c r="G457" s="7"/>
      <c r="H457" s="8"/>
    </row>
    <row r="458" spans="4:8" x14ac:dyDescent="0.3">
      <c r="D458" s="52"/>
      <c r="E458" s="6"/>
      <c r="F458" s="7"/>
      <c r="G458" s="7"/>
      <c r="H458" s="8"/>
    </row>
    <row r="459" spans="4:8" ht="14.4" x14ac:dyDescent="0.3">
      <c r="D459" s="55" t="s">
        <v>24</v>
      </c>
      <c r="E459" s="55"/>
      <c r="F459" s="55"/>
      <c r="G459" s="55"/>
      <c r="H459" s="55"/>
    </row>
    <row r="460" spans="4:8" ht="6" customHeight="1" x14ac:dyDescent="0.3"/>
    <row r="461" spans="4:8" ht="12" customHeight="1" x14ac:dyDescent="0.3">
      <c r="D461" s="53" t="s">
        <v>1</v>
      </c>
      <c r="E461" s="54"/>
      <c r="F461" s="11" t="s">
        <v>36</v>
      </c>
      <c r="G461" s="12" t="s">
        <v>2</v>
      </c>
      <c r="H461" s="13" t="s">
        <v>3</v>
      </c>
    </row>
    <row r="462" spans="4:8" ht="4.8" customHeight="1" x14ac:dyDescent="0.3">
      <c r="D462" s="49"/>
      <c r="E462" s="44"/>
      <c r="F462" s="45"/>
      <c r="G462" s="46"/>
      <c r="H462" s="47"/>
    </row>
    <row r="463" spans="4:8" ht="12" customHeight="1" x14ac:dyDescent="0.3">
      <c r="D463" s="50" t="s">
        <v>37</v>
      </c>
      <c r="E463" s="14"/>
      <c r="F463" s="15"/>
      <c r="G463" s="16"/>
      <c r="H463" s="17"/>
    </row>
    <row r="464" spans="4:8" ht="12" customHeight="1" x14ac:dyDescent="0.3">
      <c r="D464" s="50"/>
      <c r="E464" s="14" t="s">
        <v>4</v>
      </c>
      <c r="F464" s="18"/>
      <c r="G464" s="19">
        <v>9086689.8599999994</v>
      </c>
      <c r="H464" s="20">
        <f>+G464/G489</f>
        <v>0.42039126719002107</v>
      </c>
    </row>
    <row r="465" spans="4:11" ht="12" customHeight="1" x14ac:dyDescent="0.3">
      <c r="D465" s="50"/>
      <c r="E465" s="14" t="s">
        <v>5</v>
      </c>
      <c r="F465" s="15"/>
      <c r="G465" s="4">
        <v>4069087.38</v>
      </c>
      <c r="H465" s="20">
        <f>+G465/G489</f>
        <v>0.18825433973655206</v>
      </c>
    </row>
    <row r="466" spans="4:11" ht="12" customHeight="1" x14ac:dyDescent="0.3">
      <c r="D466" s="50"/>
      <c r="E466" s="14" t="s">
        <v>38</v>
      </c>
      <c r="F466" s="15"/>
      <c r="G466" s="22"/>
      <c r="H466" s="20"/>
    </row>
    <row r="467" spans="4:11" ht="12" customHeight="1" x14ac:dyDescent="0.3">
      <c r="D467" s="50"/>
      <c r="E467" s="23" t="s">
        <v>34</v>
      </c>
      <c r="F467" s="10">
        <v>7582.59</v>
      </c>
      <c r="G467" s="21"/>
      <c r="H467" s="20"/>
    </row>
    <row r="468" spans="4:11" ht="12" customHeight="1" x14ac:dyDescent="0.3">
      <c r="D468" s="50"/>
      <c r="E468" s="23" t="s">
        <v>8</v>
      </c>
      <c r="F468" s="25">
        <v>31235.599999999999</v>
      </c>
      <c r="G468" s="21">
        <f>SUM(F467:F469)</f>
        <v>38818.19</v>
      </c>
      <c r="H468" s="20">
        <f>+G468/G489</f>
        <v>1.7959045962335734E-3</v>
      </c>
    </row>
    <row r="469" spans="4:11" ht="12" hidden="1" customHeight="1" x14ac:dyDescent="0.3">
      <c r="D469" s="50"/>
      <c r="E469" s="23" t="s">
        <v>9</v>
      </c>
      <c r="F469" s="25">
        <v>0</v>
      </c>
    </row>
    <row r="470" spans="4:11" ht="12" customHeight="1" x14ac:dyDescent="0.3">
      <c r="D470" s="50"/>
      <c r="E470" s="14" t="s">
        <v>39</v>
      </c>
      <c r="F470" s="10"/>
      <c r="G470" s="22"/>
      <c r="H470" s="20"/>
      <c r="K470" s="1">
        <f>42.04+18.83+0.18+7.13+31.82</f>
        <v>100</v>
      </c>
    </row>
    <row r="471" spans="4:11" ht="12" customHeight="1" x14ac:dyDescent="0.3">
      <c r="D471" s="50"/>
      <c r="E471" s="23" t="s">
        <v>33</v>
      </c>
      <c r="F471" s="10">
        <v>190088.95999999999</v>
      </c>
      <c r="G471" s="22"/>
      <c r="H471" s="20"/>
      <c r="K471" s="1">
        <f>68.18+31.82</f>
        <v>100</v>
      </c>
    </row>
    <row r="472" spans="4:11" ht="12" customHeight="1" x14ac:dyDescent="0.3">
      <c r="D472" s="50"/>
      <c r="E472" s="23" t="s">
        <v>6</v>
      </c>
      <c r="F472" s="21">
        <v>245148.21</v>
      </c>
      <c r="G472" s="22"/>
      <c r="H472" s="20"/>
    </row>
    <row r="473" spans="4:11" ht="12" customHeight="1" x14ac:dyDescent="0.3">
      <c r="D473" s="50"/>
      <c r="E473" s="23" t="s">
        <v>7</v>
      </c>
      <c r="F473" s="21">
        <v>213322.97</v>
      </c>
      <c r="G473" s="22"/>
      <c r="H473" s="20"/>
    </row>
    <row r="474" spans="4:11" ht="12" customHeight="1" x14ac:dyDescent="0.3">
      <c r="D474" s="50"/>
      <c r="E474" s="23" t="s">
        <v>31</v>
      </c>
      <c r="F474" s="21">
        <v>422950.79</v>
      </c>
      <c r="G474" s="22"/>
      <c r="H474" s="20"/>
    </row>
    <row r="475" spans="4:11" ht="12" customHeight="1" x14ac:dyDescent="0.3">
      <c r="D475" s="50"/>
      <c r="E475" s="23" t="s">
        <v>32</v>
      </c>
      <c r="F475" s="21">
        <v>36250.76</v>
      </c>
      <c r="G475" s="22"/>
      <c r="H475" s="20"/>
    </row>
    <row r="476" spans="4:11" ht="12" customHeight="1" x14ac:dyDescent="0.3">
      <c r="D476" s="50"/>
      <c r="E476" s="23" t="s">
        <v>40</v>
      </c>
      <c r="F476" s="25">
        <v>434432</v>
      </c>
      <c r="G476" s="5">
        <f>SUM(F471:F476)</f>
        <v>1542193.69</v>
      </c>
      <c r="H476" s="26">
        <f>+G476/G489</f>
        <v>7.1348837649396188E-2</v>
      </c>
    </row>
    <row r="477" spans="4:11" ht="2.4" customHeight="1" x14ac:dyDescent="0.3">
      <c r="D477" s="50"/>
      <c r="E477" s="14"/>
      <c r="F477" s="15"/>
      <c r="G477" s="21"/>
      <c r="H477" s="20"/>
    </row>
    <row r="478" spans="4:11" ht="12" customHeight="1" x14ac:dyDescent="0.3">
      <c r="D478" s="50"/>
      <c r="E478" s="27" t="s">
        <v>41</v>
      </c>
      <c r="F478" s="15"/>
      <c r="G478" s="28">
        <f>SUM(G464:G476)</f>
        <v>14736789.119999997</v>
      </c>
      <c r="H478" s="29">
        <f>+G478/G489</f>
        <v>0.68179034917220283</v>
      </c>
    </row>
    <row r="479" spans="4:11" ht="6" customHeight="1" x14ac:dyDescent="0.3">
      <c r="D479" s="50"/>
      <c r="E479" s="27"/>
      <c r="F479" s="15"/>
      <c r="G479" s="30"/>
      <c r="H479" s="31"/>
    </row>
    <row r="480" spans="4:11" ht="12" hidden="1" customHeight="1" x14ac:dyDescent="0.3">
      <c r="D480" s="50" t="s">
        <v>35</v>
      </c>
      <c r="E480" s="32"/>
      <c r="F480" s="21"/>
      <c r="G480" s="15"/>
      <c r="H480" s="20"/>
    </row>
    <row r="481" spans="4:8" ht="12" hidden="1" customHeight="1" x14ac:dyDescent="0.3">
      <c r="D481" s="50"/>
      <c r="E481" s="33" t="s">
        <v>42</v>
      </c>
      <c r="F481" s="34"/>
      <c r="G481" s="10">
        <v>0</v>
      </c>
      <c r="H481" s="35">
        <f>+G481/G489</f>
        <v>0</v>
      </c>
    </row>
    <row r="482" spans="4:8" ht="6" customHeight="1" x14ac:dyDescent="0.3">
      <c r="D482" s="50"/>
      <c r="E482" s="27"/>
      <c r="F482" s="15"/>
      <c r="G482" s="30"/>
      <c r="H482" s="31"/>
    </row>
    <row r="483" spans="4:8" ht="12" customHeight="1" x14ac:dyDescent="0.3">
      <c r="D483" s="50" t="s">
        <v>10</v>
      </c>
      <c r="E483" s="14"/>
      <c r="F483" s="15"/>
      <c r="G483" s="21"/>
      <c r="H483" s="20"/>
    </row>
    <row r="484" spans="4:8" ht="12" customHeight="1" x14ac:dyDescent="0.3">
      <c r="D484" s="50"/>
      <c r="E484" s="14" t="s">
        <v>11</v>
      </c>
      <c r="F484" s="10">
        <v>2565508.92</v>
      </c>
      <c r="G484" s="21"/>
      <c r="H484" s="20"/>
    </row>
    <row r="485" spans="4:8" ht="12" customHeight="1" x14ac:dyDescent="0.3">
      <c r="D485" s="50"/>
      <c r="E485" s="14" t="s">
        <v>12</v>
      </c>
      <c r="F485" s="25">
        <v>4312541.68</v>
      </c>
      <c r="G485" s="25">
        <f>SUM(F484:F485)</f>
        <v>6878050.5999999996</v>
      </c>
      <c r="H485" s="36">
        <f>+G485/G489</f>
        <v>0.31820965082779712</v>
      </c>
    </row>
    <row r="486" spans="4:8" ht="2.4" customHeight="1" x14ac:dyDescent="0.3">
      <c r="D486" s="50"/>
      <c r="E486" s="32"/>
      <c r="F486" s="21"/>
      <c r="G486" s="15"/>
      <c r="H486" s="20"/>
    </row>
    <row r="487" spans="4:8" ht="12" customHeight="1" x14ac:dyDescent="0.3">
      <c r="D487" s="50"/>
      <c r="E487" s="27" t="s">
        <v>41</v>
      </c>
      <c r="F487" s="15"/>
      <c r="G487" s="28">
        <f>SUM(G481:G485)</f>
        <v>6878050.5999999996</v>
      </c>
      <c r="H487" s="29">
        <f>+H481+H485</f>
        <v>0.31820965082779712</v>
      </c>
    </row>
    <row r="488" spans="4:8" ht="2.4" customHeight="1" x14ac:dyDescent="0.3">
      <c r="D488" s="50"/>
      <c r="E488" s="32"/>
      <c r="F488" s="21"/>
      <c r="G488" s="15"/>
      <c r="H488" s="20"/>
    </row>
    <row r="489" spans="4:8" ht="12.6" customHeight="1" thickBot="1" x14ac:dyDescent="0.35">
      <c r="D489" s="50"/>
      <c r="E489" s="37" t="s">
        <v>13</v>
      </c>
      <c r="F489" s="21"/>
      <c r="G489" s="38">
        <f>+G478+G487</f>
        <v>21614839.719999999</v>
      </c>
      <c r="H489" s="39">
        <f>+H478+H487</f>
        <v>1</v>
      </c>
    </row>
    <row r="490" spans="4:8" ht="6" customHeight="1" thickTop="1" x14ac:dyDescent="0.3">
      <c r="D490" s="51"/>
      <c r="E490" s="40"/>
      <c r="F490" s="41"/>
      <c r="G490" s="41"/>
      <c r="H490" s="36"/>
    </row>
    <row r="492" spans="4:8" ht="14.4" x14ac:dyDescent="0.3">
      <c r="D492" s="55" t="s">
        <v>25</v>
      </c>
      <c r="E492" s="55"/>
      <c r="F492" s="55"/>
      <c r="G492" s="55"/>
      <c r="H492" s="55"/>
    </row>
    <row r="493" spans="4:8" ht="6" customHeight="1" x14ac:dyDescent="0.3"/>
    <row r="494" spans="4:8" ht="12" customHeight="1" x14ac:dyDescent="0.3">
      <c r="D494" s="53" t="s">
        <v>1</v>
      </c>
      <c r="E494" s="54"/>
      <c r="F494" s="11" t="s">
        <v>36</v>
      </c>
      <c r="G494" s="12" t="s">
        <v>2</v>
      </c>
      <c r="H494" s="13" t="s">
        <v>3</v>
      </c>
    </row>
    <row r="495" spans="4:8" ht="4.8" customHeight="1" x14ac:dyDescent="0.3">
      <c r="D495" s="49"/>
      <c r="E495" s="44"/>
      <c r="F495" s="45"/>
      <c r="G495" s="46"/>
      <c r="H495" s="47"/>
    </row>
    <row r="496" spans="4:8" ht="12" customHeight="1" x14ac:dyDescent="0.3">
      <c r="D496" s="50" t="s">
        <v>37</v>
      </c>
      <c r="E496" s="14"/>
      <c r="F496" s="15"/>
      <c r="G496" s="16"/>
      <c r="H496" s="17"/>
    </row>
    <row r="497" spans="4:11" ht="12" customHeight="1" x14ac:dyDescent="0.3">
      <c r="D497" s="50"/>
      <c r="E497" s="14" t="s">
        <v>4</v>
      </c>
      <c r="F497" s="18"/>
      <c r="G497" s="19">
        <v>7307844.3099999996</v>
      </c>
      <c r="H497" s="20">
        <f>+G497/G522+0.0001</f>
        <v>0.34593552062515248</v>
      </c>
    </row>
    <row r="498" spans="4:11" ht="12" customHeight="1" x14ac:dyDescent="0.3">
      <c r="D498" s="50"/>
      <c r="E498" s="14" t="s">
        <v>5</v>
      </c>
      <c r="F498" s="15"/>
      <c r="G498" s="4">
        <v>3255874.62</v>
      </c>
      <c r="H498" s="20">
        <f>+G498/G522</f>
        <v>0.154080607978623</v>
      </c>
    </row>
    <row r="499" spans="4:11" ht="12" customHeight="1" x14ac:dyDescent="0.3">
      <c r="D499" s="50"/>
      <c r="E499" s="14" t="s">
        <v>38</v>
      </c>
      <c r="F499" s="15"/>
      <c r="G499" s="22"/>
      <c r="H499" s="20"/>
    </row>
    <row r="500" spans="4:11" ht="12" customHeight="1" x14ac:dyDescent="0.3">
      <c r="D500" s="50"/>
      <c r="E500" s="23" t="s">
        <v>34</v>
      </c>
      <c r="F500" s="10">
        <v>66285.490000000005</v>
      </c>
      <c r="G500" s="21"/>
      <c r="H500" s="20"/>
    </row>
    <row r="501" spans="4:11" ht="12" hidden="1" customHeight="1" x14ac:dyDescent="0.3">
      <c r="D501" s="50"/>
      <c r="E501" s="23" t="s">
        <v>8</v>
      </c>
      <c r="F501" s="21">
        <v>0</v>
      </c>
      <c r="G501" s="24"/>
      <c r="H501" s="43"/>
    </row>
    <row r="502" spans="4:11" ht="12" customHeight="1" x14ac:dyDescent="0.3">
      <c r="D502" s="50"/>
      <c r="E502" s="23" t="s">
        <v>9</v>
      </c>
      <c r="F502" s="25">
        <v>1458.81</v>
      </c>
      <c r="G502" s="21">
        <f>SUM(F500:F502)</f>
        <v>67744.3</v>
      </c>
      <c r="H502" s="20">
        <f>+G502/G522</f>
        <v>3.2059228776709558E-3</v>
      </c>
    </row>
    <row r="503" spans="4:11" ht="12" customHeight="1" x14ac:dyDescent="0.3">
      <c r="D503" s="50"/>
      <c r="E503" s="14" t="s">
        <v>39</v>
      </c>
      <c r="F503" s="10"/>
      <c r="G503" s="22"/>
      <c r="H503" s="20"/>
      <c r="K503" s="1">
        <f>34.59+15.41+0.32+7.42+42.26</f>
        <v>100</v>
      </c>
    </row>
    <row r="504" spans="4:11" ht="12" customHeight="1" x14ac:dyDescent="0.3">
      <c r="D504" s="50"/>
      <c r="E504" s="23" t="s">
        <v>33</v>
      </c>
      <c r="F504" s="10">
        <v>232982.59</v>
      </c>
      <c r="G504" s="22"/>
      <c r="H504" s="20"/>
      <c r="K504" s="1">
        <f>57.74+42.26</f>
        <v>100</v>
      </c>
    </row>
    <row r="505" spans="4:11" ht="12" customHeight="1" x14ac:dyDescent="0.3">
      <c r="D505" s="50"/>
      <c r="E505" s="23" t="s">
        <v>6</v>
      </c>
      <c r="F505" s="21">
        <v>377860.76</v>
      </c>
      <c r="G505" s="22"/>
      <c r="H505" s="20"/>
    </row>
    <row r="506" spans="4:11" ht="12" customHeight="1" x14ac:dyDescent="0.3">
      <c r="D506" s="50"/>
      <c r="E506" s="23" t="s">
        <v>7</v>
      </c>
      <c r="F506" s="21">
        <v>326760.57</v>
      </c>
      <c r="G506" s="22"/>
      <c r="H506" s="20"/>
    </row>
    <row r="507" spans="4:11" ht="12" customHeight="1" x14ac:dyDescent="0.3">
      <c r="D507" s="50"/>
      <c r="E507" s="23" t="s">
        <v>31</v>
      </c>
      <c r="F507" s="21">
        <v>584240.91</v>
      </c>
      <c r="G507" s="22"/>
      <c r="H507" s="20"/>
    </row>
    <row r="508" spans="4:11" ht="12" customHeight="1" x14ac:dyDescent="0.3">
      <c r="D508" s="50"/>
      <c r="E508" s="23" t="s">
        <v>32</v>
      </c>
      <c r="F508" s="25">
        <v>46675.69</v>
      </c>
      <c r="G508" s="5">
        <f>SUM(F504:F509)</f>
        <v>1568520.52</v>
      </c>
      <c r="H508" s="26">
        <f>+G508/G522</f>
        <v>7.4228471165313448E-2</v>
      </c>
    </row>
    <row r="509" spans="4:11" ht="12" hidden="1" customHeight="1" x14ac:dyDescent="0.3">
      <c r="D509" s="50"/>
      <c r="E509" s="23" t="s">
        <v>40</v>
      </c>
      <c r="F509" s="25">
        <v>0</v>
      </c>
    </row>
    <row r="510" spans="4:11" ht="2.4" customHeight="1" x14ac:dyDescent="0.3">
      <c r="D510" s="50"/>
      <c r="E510" s="14"/>
      <c r="F510" s="15"/>
      <c r="G510" s="21"/>
      <c r="H510" s="20"/>
    </row>
    <row r="511" spans="4:11" ht="12" customHeight="1" x14ac:dyDescent="0.3">
      <c r="D511" s="50"/>
      <c r="E511" s="27" t="s">
        <v>41</v>
      </c>
      <c r="F511" s="15"/>
      <c r="G511" s="28">
        <f>SUM(G497:G508)</f>
        <v>12199983.75</v>
      </c>
      <c r="H511" s="29">
        <f>+G511/G522</f>
        <v>0.5773505226467599</v>
      </c>
    </row>
    <row r="512" spans="4:11" ht="6" customHeight="1" x14ac:dyDescent="0.3">
      <c r="D512" s="50"/>
      <c r="E512" s="27"/>
      <c r="F512" s="15"/>
      <c r="G512" s="30"/>
      <c r="H512" s="31"/>
    </row>
    <row r="513" spans="4:8" ht="12" hidden="1" customHeight="1" x14ac:dyDescent="0.3">
      <c r="D513" s="50" t="s">
        <v>35</v>
      </c>
      <c r="E513" s="32"/>
      <c r="F513" s="21"/>
      <c r="G513" s="15"/>
      <c r="H513" s="20"/>
    </row>
    <row r="514" spans="4:8" ht="12" hidden="1" customHeight="1" x14ac:dyDescent="0.3">
      <c r="D514" s="50"/>
      <c r="E514" s="33" t="s">
        <v>42</v>
      </c>
      <c r="F514" s="34"/>
      <c r="G514" s="10">
        <v>0</v>
      </c>
      <c r="H514" s="35">
        <f>+G514/G522</f>
        <v>0</v>
      </c>
    </row>
    <row r="515" spans="4:8" ht="6" customHeight="1" x14ac:dyDescent="0.3">
      <c r="D515" s="50"/>
      <c r="E515" s="27"/>
      <c r="F515" s="15"/>
      <c r="G515" s="30"/>
      <c r="H515" s="31"/>
    </row>
    <row r="516" spans="4:8" ht="12" customHeight="1" x14ac:dyDescent="0.3">
      <c r="D516" s="50" t="s">
        <v>10</v>
      </c>
      <c r="E516" s="14"/>
      <c r="F516" s="15"/>
      <c r="G516" s="21"/>
      <c r="H516" s="20"/>
    </row>
    <row r="517" spans="4:8" ht="12" customHeight="1" x14ac:dyDescent="0.3">
      <c r="D517" s="50"/>
      <c r="E517" s="14" t="s">
        <v>11</v>
      </c>
      <c r="F517" s="10">
        <v>1879569.39</v>
      </c>
      <c r="G517" s="21"/>
      <c r="H517" s="20"/>
    </row>
    <row r="518" spans="4:8" ht="12" customHeight="1" x14ac:dyDescent="0.3">
      <c r="D518" s="50"/>
      <c r="E518" s="14" t="s">
        <v>12</v>
      </c>
      <c r="F518" s="25">
        <v>7051429.29</v>
      </c>
      <c r="G518" s="25">
        <f>SUM(F517:F518)</f>
        <v>8930998.6799999997</v>
      </c>
      <c r="H518" s="36">
        <f>+G518/G522</f>
        <v>0.4226494773532401</v>
      </c>
    </row>
    <row r="519" spans="4:8" ht="2.4" customHeight="1" x14ac:dyDescent="0.3">
      <c r="D519" s="50"/>
      <c r="E519" s="32"/>
      <c r="F519" s="21"/>
      <c r="G519" s="15"/>
      <c r="H519" s="20"/>
    </row>
    <row r="520" spans="4:8" ht="12" customHeight="1" x14ac:dyDescent="0.3">
      <c r="D520" s="50"/>
      <c r="E520" s="27" t="s">
        <v>41</v>
      </c>
      <c r="F520" s="15"/>
      <c r="G520" s="28">
        <f>SUM(G514:G518)</f>
        <v>8930998.6799999997</v>
      </c>
      <c r="H520" s="29">
        <f>+H514+H518</f>
        <v>0.4226494773532401</v>
      </c>
    </row>
    <row r="521" spans="4:8" ht="2.4" customHeight="1" x14ac:dyDescent="0.3">
      <c r="D521" s="50"/>
      <c r="E521" s="32"/>
      <c r="F521" s="21"/>
      <c r="G521" s="15"/>
      <c r="H521" s="20"/>
    </row>
    <row r="522" spans="4:8" ht="12.6" customHeight="1" thickBot="1" x14ac:dyDescent="0.35">
      <c r="D522" s="50"/>
      <c r="E522" s="37" t="s">
        <v>13</v>
      </c>
      <c r="F522" s="21"/>
      <c r="G522" s="38">
        <f>+G511+G520</f>
        <v>21130982.43</v>
      </c>
      <c r="H522" s="39">
        <f>+H511+H520</f>
        <v>1</v>
      </c>
    </row>
    <row r="523" spans="4:8" ht="6" customHeight="1" thickTop="1" x14ac:dyDescent="0.3">
      <c r="D523" s="51"/>
      <c r="E523" s="40"/>
      <c r="F523" s="41"/>
      <c r="G523" s="41"/>
      <c r="H523" s="36"/>
    </row>
    <row r="524" spans="4:8" x14ac:dyDescent="0.3">
      <c r="D524" s="52"/>
      <c r="E524" s="6"/>
      <c r="F524" s="7"/>
      <c r="G524" s="7"/>
      <c r="H524" s="8"/>
    </row>
    <row r="525" spans="4:8" x14ac:dyDescent="0.3">
      <c r="D525" s="52"/>
      <c r="E525" s="6"/>
      <c r="F525" s="7"/>
      <c r="G525" s="7"/>
      <c r="H525" s="8"/>
    </row>
    <row r="526" spans="4:8" x14ac:dyDescent="0.3">
      <c r="D526" s="52"/>
      <c r="E526" s="6"/>
      <c r="F526" s="7"/>
      <c r="G526" s="7"/>
      <c r="H526" s="8"/>
    </row>
    <row r="527" spans="4:8" ht="14.4" x14ac:dyDescent="0.3">
      <c r="D527" s="55" t="s">
        <v>26</v>
      </c>
      <c r="E527" s="55"/>
      <c r="F527" s="55"/>
      <c r="G527" s="55"/>
      <c r="H527" s="55"/>
    </row>
    <row r="528" spans="4:8" ht="6" customHeight="1" x14ac:dyDescent="0.3"/>
    <row r="529" spans="4:11" ht="12" customHeight="1" x14ac:dyDescent="0.3">
      <c r="D529" s="53" t="s">
        <v>1</v>
      </c>
      <c r="E529" s="54"/>
      <c r="F529" s="11" t="s">
        <v>36</v>
      </c>
      <c r="G529" s="12" t="s">
        <v>2</v>
      </c>
      <c r="H529" s="13" t="s">
        <v>3</v>
      </c>
    </row>
    <row r="530" spans="4:11" ht="4.8" customHeight="1" x14ac:dyDescent="0.3">
      <c r="D530" s="49"/>
      <c r="E530" s="44"/>
      <c r="F530" s="45"/>
      <c r="G530" s="46"/>
      <c r="H530" s="47"/>
    </row>
    <row r="531" spans="4:11" ht="12" customHeight="1" x14ac:dyDescent="0.3">
      <c r="D531" s="50" t="s">
        <v>37</v>
      </c>
      <c r="E531" s="14"/>
      <c r="F531" s="15"/>
      <c r="G531" s="16"/>
      <c r="H531" s="17"/>
    </row>
    <row r="532" spans="4:11" ht="12" customHeight="1" x14ac:dyDescent="0.3">
      <c r="D532" s="50"/>
      <c r="E532" s="14" t="s">
        <v>4</v>
      </c>
      <c r="F532" s="18"/>
      <c r="G532" s="19">
        <v>5091095.2300000004</v>
      </c>
      <c r="H532" s="20">
        <f>+G532/G557</f>
        <v>0.49868733422366285</v>
      </c>
    </row>
    <row r="533" spans="4:11" ht="12" customHeight="1" x14ac:dyDescent="0.3">
      <c r="D533" s="50"/>
      <c r="E533" s="14" t="s">
        <v>5</v>
      </c>
      <c r="F533" s="15"/>
      <c r="G533" s="4">
        <v>2297555.84</v>
      </c>
      <c r="H533" s="20">
        <f>+G533/G557</f>
        <v>0.22505216369319581</v>
      </c>
    </row>
    <row r="534" spans="4:11" ht="12" customHeight="1" x14ac:dyDescent="0.3">
      <c r="D534" s="50"/>
      <c r="E534" s="14" t="s">
        <v>38</v>
      </c>
      <c r="F534" s="15"/>
      <c r="G534" s="22"/>
      <c r="H534" s="20"/>
    </row>
    <row r="535" spans="4:11" ht="12" customHeight="1" x14ac:dyDescent="0.3">
      <c r="D535" s="50"/>
      <c r="E535" s="23" t="s">
        <v>34</v>
      </c>
      <c r="F535" s="10">
        <v>3757.2</v>
      </c>
      <c r="G535" s="21"/>
      <c r="H535" s="20"/>
    </row>
    <row r="536" spans="4:11" ht="12" customHeight="1" x14ac:dyDescent="0.3">
      <c r="D536" s="50"/>
      <c r="E536" s="23" t="s">
        <v>8</v>
      </c>
      <c r="F536" s="21">
        <v>12805.04</v>
      </c>
      <c r="G536" s="24"/>
      <c r="H536" s="14"/>
    </row>
    <row r="537" spans="4:11" ht="12" customHeight="1" x14ac:dyDescent="0.3">
      <c r="D537" s="50"/>
      <c r="E537" s="23" t="s">
        <v>9</v>
      </c>
      <c r="F537" s="25">
        <v>23053.279999999999</v>
      </c>
      <c r="G537" s="21">
        <f>SUM(F535:F537)</f>
        <v>39615.520000000004</v>
      </c>
      <c r="H537" s="20">
        <f>+G537/G557</f>
        <v>3.8804534525833652E-3</v>
      </c>
    </row>
    <row r="538" spans="4:11" ht="12" customHeight="1" x14ac:dyDescent="0.3">
      <c r="D538" s="50"/>
      <c r="E538" s="14" t="s">
        <v>39</v>
      </c>
      <c r="F538" s="10"/>
      <c r="G538" s="22"/>
      <c r="H538" s="20"/>
      <c r="K538" s="1">
        <f>49.87+22.51+0.39+8.8+18.43</f>
        <v>100</v>
      </c>
    </row>
    <row r="539" spans="4:11" ht="12" customHeight="1" x14ac:dyDescent="0.3">
      <c r="D539" s="50"/>
      <c r="E539" s="23" t="s">
        <v>33</v>
      </c>
      <c r="F539" s="10">
        <v>341509.35</v>
      </c>
      <c r="G539" s="22"/>
      <c r="H539" s="20"/>
      <c r="K539" s="1">
        <f>81.57+18.43</f>
        <v>100</v>
      </c>
    </row>
    <row r="540" spans="4:11" ht="12" customHeight="1" x14ac:dyDescent="0.3">
      <c r="D540" s="50"/>
      <c r="E540" s="23" t="s">
        <v>6</v>
      </c>
      <c r="F540" s="21">
        <v>61292.55</v>
      </c>
      <c r="G540" s="22"/>
      <c r="H540" s="20"/>
    </row>
    <row r="541" spans="4:11" ht="12" customHeight="1" x14ac:dyDescent="0.3">
      <c r="D541" s="50"/>
      <c r="E541" s="23" t="s">
        <v>7</v>
      </c>
      <c r="F541" s="21">
        <v>53250.89</v>
      </c>
      <c r="G541" s="22"/>
      <c r="H541" s="20"/>
    </row>
    <row r="542" spans="4:11" ht="12" customHeight="1" x14ac:dyDescent="0.3">
      <c r="D542" s="50"/>
      <c r="E542" s="23" t="s">
        <v>31</v>
      </c>
      <c r="F542" s="21">
        <v>270107.69</v>
      </c>
      <c r="G542" s="22"/>
      <c r="H542" s="20"/>
    </row>
    <row r="543" spans="4:11" ht="12" customHeight="1" x14ac:dyDescent="0.3">
      <c r="D543" s="50"/>
      <c r="E543" s="23" t="s">
        <v>32</v>
      </c>
      <c r="F543" s="21">
        <v>25813.84</v>
      </c>
      <c r="G543" s="22"/>
      <c r="H543" s="20"/>
    </row>
    <row r="544" spans="4:11" ht="12" customHeight="1" x14ac:dyDescent="0.3">
      <c r="D544" s="50"/>
      <c r="E544" s="23" t="s">
        <v>40</v>
      </c>
      <c r="F544" s="25">
        <v>146782</v>
      </c>
      <c r="G544" s="5">
        <f>SUM(F539:F544)</f>
        <v>898756.32</v>
      </c>
      <c r="H544" s="26">
        <f>+G544/G557</f>
        <v>8.8035751265542375E-2</v>
      </c>
    </row>
    <row r="545" spans="4:8" ht="2.4" customHeight="1" x14ac:dyDescent="0.3">
      <c r="D545" s="50"/>
      <c r="E545" s="14"/>
      <c r="F545" s="15"/>
      <c r="G545" s="21"/>
      <c r="H545" s="20"/>
    </row>
    <row r="546" spans="4:8" ht="12" customHeight="1" x14ac:dyDescent="0.3">
      <c r="D546" s="50"/>
      <c r="E546" s="27" t="s">
        <v>41</v>
      </c>
      <c r="F546" s="15"/>
      <c r="G546" s="28">
        <f>SUM(G532:G544)</f>
        <v>8327022.9100000001</v>
      </c>
      <c r="H546" s="29">
        <f>+G546/G557</f>
        <v>0.81565570263498444</v>
      </c>
    </row>
    <row r="547" spans="4:8" ht="6" customHeight="1" x14ac:dyDescent="0.3">
      <c r="D547" s="50"/>
      <c r="E547" s="27"/>
      <c r="F547" s="15"/>
      <c r="G547" s="30"/>
      <c r="H547" s="31"/>
    </row>
    <row r="548" spans="4:8" ht="12" hidden="1" customHeight="1" x14ac:dyDescent="0.3">
      <c r="D548" s="50" t="s">
        <v>35</v>
      </c>
      <c r="E548" s="32"/>
      <c r="F548" s="21"/>
      <c r="G548" s="15"/>
      <c r="H548" s="20"/>
    </row>
    <row r="549" spans="4:8" ht="12" hidden="1" customHeight="1" x14ac:dyDescent="0.3">
      <c r="D549" s="50"/>
      <c r="E549" s="33" t="s">
        <v>42</v>
      </c>
      <c r="F549" s="34"/>
      <c r="G549" s="10">
        <v>0</v>
      </c>
      <c r="H549" s="35">
        <f>+G549/G557</f>
        <v>0</v>
      </c>
    </row>
    <row r="550" spans="4:8" ht="6" customHeight="1" x14ac:dyDescent="0.3">
      <c r="D550" s="50"/>
      <c r="E550" s="27"/>
      <c r="F550" s="15"/>
      <c r="G550" s="30"/>
      <c r="H550" s="31"/>
    </row>
    <row r="551" spans="4:8" ht="12" customHeight="1" x14ac:dyDescent="0.3">
      <c r="D551" s="50" t="s">
        <v>10</v>
      </c>
      <c r="E551" s="14"/>
      <c r="F551" s="15"/>
      <c r="G551" s="21"/>
      <c r="H551" s="20"/>
    </row>
    <row r="552" spans="4:8" ht="12" customHeight="1" x14ac:dyDescent="0.3">
      <c r="D552" s="50"/>
      <c r="E552" s="14" t="s">
        <v>11</v>
      </c>
      <c r="F552" s="10">
        <v>803475.09</v>
      </c>
      <c r="G552" s="21"/>
      <c r="H552" s="20"/>
    </row>
    <row r="553" spans="4:8" ht="12" customHeight="1" x14ac:dyDescent="0.3">
      <c r="D553" s="50"/>
      <c r="E553" s="14" t="s">
        <v>12</v>
      </c>
      <c r="F553" s="25">
        <v>1078494.45</v>
      </c>
      <c r="G553" s="25">
        <f>SUM(F552:F553)</f>
        <v>1881969.54</v>
      </c>
      <c r="H553" s="36">
        <f>+G553/G557</f>
        <v>0.1843442973650157</v>
      </c>
    </row>
    <row r="554" spans="4:8" ht="2.4" customHeight="1" x14ac:dyDescent="0.3">
      <c r="D554" s="50"/>
      <c r="E554" s="32"/>
      <c r="F554" s="21"/>
      <c r="G554" s="15"/>
      <c r="H554" s="20"/>
    </row>
    <row r="555" spans="4:8" ht="12" customHeight="1" x14ac:dyDescent="0.3">
      <c r="D555" s="50"/>
      <c r="E555" s="27" t="s">
        <v>41</v>
      </c>
      <c r="F555" s="15"/>
      <c r="G555" s="28">
        <f>SUM(G549:G553)</f>
        <v>1881969.54</v>
      </c>
      <c r="H555" s="29">
        <f>+H549+H553</f>
        <v>0.1843442973650157</v>
      </c>
    </row>
    <row r="556" spans="4:8" ht="2.4" customHeight="1" x14ac:dyDescent="0.3">
      <c r="D556" s="50"/>
      <c r="E556" s="32"/>
      <c r="F556" s="21"/>
      <c r="G556" s="15"/>
      <c r="H556" s="20"/>
    </row>
    <row r="557" spans="4:8" ht="12.6" customHeight="1" thickBot="1" x14ac:dyDescent="0.35">
      <c r="D557" s="50"/>
      <c r="E557" s="37" t="s">
        <v>13</v>
      </c>
      <c r="F557" s="21"/>
      <c r="G557" s="38">
        <f>+G546+G555</f>
        <v>10208992.449999999</v>
      </c>
      <c r="H557" s="39">
        <f>+H546+H555</f>
        <v>1.0000000000000002</v>
      </c>
    </row>
    <row r="558" spans="4:8" ht="6" customHeight="1" thickTop="1" x14ac:dyDescent="0.3">
      <c r="D558" s="51"/>
      <c r="E558" s="40"/>
      <c r="F558" s="41"/>
      <c r="G558" s="41"/>
      <c r="H558" s="36"/>
    </row>
    <row r="560" spans="4:8" ht="14.4" x14ac:dyDescent="0.3">
      <c r="D560" s="55" t="s">
        <v>27</v>
      </c>
      <c r="E560" s="55"/>
      <c r="F560" s="55"/>
      <c r="G560" s="55"/>
      <c r="H560" s="55"/>
    </row>
    <row r="561" spans="4:11" ht="6" customHeight="1" x14ac:dyDescent="0.3"/>
    <row r="562" spans="4:11" ht="12" customHeight="1" x14ac:dyDescent="0.3">
      <c r="D562" s="53" t="s">
        <v>1</v>
      </c>
      <c r="E562" s="54"/>
      <c r="F562" s="11" t="s">
        <v>36</v>
      </c>
      <c r="G562" s="12" t="s">
        <v>2</v>
      </c>
      <c r="H562" s="13" t="s">
        <v>3</v>
      </c>
    </row>
    <row r="563" spans="4:11" ht="4.8" customHeight="1" x14ac:dyDescent="0.3">
      <c r="D563" s="49"/>
      <c r="E563" s="44"/>
      <c r="F563" s="45"/>
      <c r="G563" s="46"/>
      <c r="H563" s="47"/>
    </row>
    <row r="564" spans="4:11" ht="12" customHeight="1" x14ac:dyDescent="0.3">
      <c r="D564" s="50" t="s">
        <v>37</v>
      </c>
      <c r="E564" s="14"/>
      <c r="F564" s="15"/>
      <c r="G564" s="16"/>
      <c r="H564" s="17"/>
    </row>
    <row r="565" spans="4:11" ht="12" customHeight="1" x14ac:dyDescent="0.3">
      <c r="D565" s="50"/>
      <c r="E565" s="14" t="s">
        <v>4</v>
      </c>
      <c r="F565" s="18"/>
      <c r="G565" s="19">
        <v>3749933.68</v>
      </c>
      <c r="H565" s="20">
        <f>+G565/G590</f>
        <v>0.19791552443199315</v>
      </c>
    </row>
    <row r="566" spans="4:11" ht="12" customHeight="1" x14ac:dyDescent="0.3">
      <c r="D566" s="50"/>
      <c r="E566" s="14" t="s">
        <v>5</v>
      </c>
      <c r="F566" s="15"/>
      <c r="G566" s="4">
        <v>1714868.08</v>
      </c>
      <c r="H566" s="20">
        <f>+G566/G590</f>
        <v>9.0508004766869682E-2</v>
      </c>
    </row>
    <row r="567" spans="4:11" ht="12" customHeight="1" x14ac:dyDescent="0.3">
      <c r="D567" s="50"/>
      <c r="E567" s="14" t="s">
        <v>38</v>
      </c>
      <c r="F567" s="15"/>
      <c r="G567" s="22"/>
      <c r="H567" s="20"/>
    </row>
    <row r="568" spans="4:11" ht="12" customHeight="1" x14ac:dyDescent="0.3">
      <c r="D568" s="50"/>
      <c r="E568" s="23" t="s">
        <v>34</v>
      </c>
      <c r="F568" s="10">
        <v>181.8</v>
      </c>
      <c r="G568" s="21"/>
      <c r="H568" s="20"/>
    </row>
    <row r="569" spans="4:11" ht="12" hidden="1" customHeight="1" x14ac:dyDescent="0.3">
      <c r="D569" s="50"/>
      <c r="E569" s="23" t="s">
        <v>8</v>
      </c>
      <c r="F569" s="21">
        <v>0</v>
      </c>
      <c r="G569" s="24"/>
      <c r="H569" s="14"/>
    </row>
    <row r="570" spans="4:11" ht="12" customHeight="1" x14ac:dyDescent="0.3">
      <c r="D570" s="50"/>
      <c r="E570" s="23" t="s">
        <v>9</v>
      </c>
      <c r="F570" s="25">
        <v>8541.1299999999992</v>
      </c>
      <c r="G570" s="21">
        <f>SUM(F568:F570)</f>
        <v>8722.9299999999985</v>
      </c>
      <c r="H570" s="20">
        <f>+G570/G590</f>
        <v>4.6038234615753673E-4</v>
      </c>
    </row>
    <row r="571" spans="4:11" ht="12" customHeight="1" x14ac:dyDescent="0.3">
      <c r="D571" s="50"/>
      <c r="E571" s="14" t="s">
        <v>39</v>
      </c>
      <c r="F571" s="10"/>
      <c r="G571" s="22"/>
      <c r="H571" s="20"/>
      <c r="K571" s="1">
        <f>19.79+9.05+0.05+5.63+65.48</f>
        <v>100</v>
      </c>
    </row>
    <row r="572" spans="4:11" ht="12" customHeight="1" x14ac:dyDescent="0.3">
      <c r="D572" s="50"/>
      <c r="E572" s="23" t="s">
        <v>33</v>
      </c>
      <c r="F572" s="10">
        <v>456237.42</v>
      </c>
      <c r="G572" s="22"/>
      <c r="H572" s="20"/>
      <c r="K572" s="1">
        <f>34.52+65.48</f>
        <v>100</v>
      </c>
    </row>
    <row r="573" spans="4:11" ht="12" customHeight="1" x14ac:dyDescent="0.3">
      <c r="D573" s="50"/>
      <c r="E573" s="23" t="s">
        <v>6</v>
      </c>
      <c r="F573" s="21">
        <v>105735.87</v>
      </c>
      <c r="G573" s="22"/>
      <c r="H573" s="20"/>
    </row>
    <row r="574" spans="4:11" ht="12" customHeight="1" x14ac:dyDescent="0.3">
      <c r="D574" s="50"/>
      <c r="E574" s="23" t="s">
        <v>7</v>
      </c>
      <c r="F574" s="21">
        <v>90137.919999999998</v>
      </c>
      <c r="G574" s="22"/>
      <c r="H574" s="20"/>
    </row>
    <row r="575" spans="4:11" ht="12" customHeight="1" x14ac:dyDescent="0.3">
      <c r="D575" s="50"/>
      <c r="E575" s="23" t="s">
        <v>31</v>
      </c>
      <c r="F575" s="21">
        <v>386030.77</v>
      </c>
      <c r="G575" s="22"/>
      <c r="H575" s="20"/>
    </row>
    <row r="576" spans="4:11" ht="12" customHeight="1" x14ac:dyDescent="0.3">
      <c r="D576" s="50"/>
      <c r="E576" s="23" t="s">
        <v>32</v>
      </c>
      <c r="F576" s="25">
        <v>28402.61</v>
      </c>
      <c r="G576" s="5">
        <f>SUM(F572:F577)</f>
        <v>1066544.5900000001</v>
      </c>
      <c r="H576" s="26">
        <f>+G576/G590</f>
        <v>5.6290524012668708E-2</v>
      </c>
    </row>
    <row r="577" spans="4:8" ht="12" hidden="1" customHeight="1" x14ac:dyDescent="0.3">
      <c r="D577" s="50"/>
      <c r="E577" s="23" t="s">
        <v>40</v>
      </c>
      <c r="F577" s="25">
        <v>0</v>
      </c>
    </row>
    <row r="578" spans="4:8" ht="2.4" customHeight="1" x14ac:dyDescent="0.3">
      <c r="D578" s="50"/>
      <c r="E578" s="14"/>
      <c r="F578" s="15"/>
      <c r="G578" s="21"/>
      <c r="H578" s="20"/>
    </row>
    <row r="579" spans="4:8" ht="12" customHeight="1" x14ac:dyDescent="0.3">
      <c r="D579" s="50"/>
      <c r="E579" s="27" t="s">
        <v>41</v>
      </c>
      <c r="F579" s="15"/>
      <c r="G579" s="28">
        <f>SUM(G565:G576)</f>
        <v>6540069.2799999993</v>
      </c>
      <c r="H579" s="29">
        <f>+G579/G590</f>
        <v>0.34517443555768901</v>
      </c>
    </row>
    <row r="580" spans="4:8" ht="6" customHeight="1" x14ac:dyDescent="0.3">
      <c r="D580" s="50"/>
      <c r="E580" s="27"/>
      <c r="F580" s="15"/>
      <c r="G580" s="30"/>
      <c r="H580" s="31"/>
    </row>
    <row r="581" spans="4:8" ht="12" hidden="1" customHeight="1" x14ac:dyDescent="0.3">
      <c r="D581" s="50" t="s">
        <v>35</v>
      </c>
      <c r="E581" s="32"/>
      <c r="F581" s="21"/>
      <c r="G581" s="15"/>
      <c r="H581" s="20"/>
    </row>
    <row r="582" spans="4:8" ht="12" hidden="1" customHeight="1" x14ac:dyDescent="0.3">
      <c r="D582" s="50"/>
      <c r="E582" s="33" t="s">
        <v>42</v>
      </c>
      <c r="F582" s="34"/>
      <c r="G582" s="10">
        <v>0</v>
      </c>
      <c r="H582" s="35">
        <f>+G582/G590</f>
        <v>0</v>
      </c>
    </row>
    <row r="583" spans="4:8" ht="6" customHeight="1" x14ac:dyDescent="0.3">
      <c r="D583" s="50"/>
      <c r="E583" s="27"/>
      <c r="F583" s="15"/>
      <c r="G583" s="30"/>
      <c r="H583" s="31"/>
    </row>
    <row r="584" spans="4:8" ht="12" customHeight="1" x14ac:dyDescent="0.3">
      <c r="D584" s="50" t="s">
        <v>10</v>
      </c>
      <c r="E584" s="14"/>
      <c r="F584" s="15"/>
      <c r="G584" s="21"/>
      <c r="H584" s="20"/>
    </row>
    <row r="585" spans="4:8" ht="12" customHeight="1" x14ac:dyDescent="0.3">
      <c r="D585" s="50"/>
      <c r="E585" s="14" t="s">
        <v>11</v>
      </c>
      <c r="F585" s="10">
        <v>10454007.57</v>
      </c>
      <c r="G585" s="21"/>
      <c r="H585" s="20"/>
    </row>
    <row r="586" spans="4:8" ht="12" customHeight="1" x14ac:dyDescent="0.3">
      <c r="D586" s="50"/>
      <c r="E586" s="14" t="s">
        <v>12</v>
      </c>
      <c r="F586" s="25">
        <v>1953065.83</v>
      </c>
      <c r="G586" s="25">
        <f>SUM(F585:F586)</f>
        <v>12407073.4</v>
      </c>
      <c r="H586" s="36">
        <f>+G586/G590</f>
        <v>0.65482556444231099</v>
      </c>
    </row>
    <row r="587" spans="4:8" ht="2.4" customHeight="1" x14ac:dyDescent="0.3">
      <c r="D587" s="50"/>
      <c r="E587" s="32"/>
      <c r="F587" s="21"/>
      <c r="G587" s="15"/>
      <c r="H587" s="20"/>
    </row>
    <row r="588" spans="4:8" ht="12" customHeight="1" x14ac:dyDescent="0.3">
      <c r="D588" s="50"/>
      <c r="E588" s="27" t="s">
        <v>41</v>
      </c>
      <c r="F588" s="15"/>
      <c r="G588" s="28">
        <f>SUM(G582:G586)</f>
        <v>12407073.4</v>
      </c>
      <c r="H588" s="29">
        <f>+H582+H586</f>
        <v>0.65482556444231099</v>
      </c>
    </row>
    <row r="589" spans="4:8" ht="2.4" customHeight="1" x14ac:dyDescent="0.3">
      <c r="D589" s="50"/>
      <c r="E589" s="32"/>
      <c r="F589" s="21"/>
      <c r="G589" s="15"/>
      <c r="H589" s="20"/>
    </row>
    <row r="590" spans="4:8" ht="12.6" customHeight="1" thickBot="1" x14ac:dyDescent="0.35">
      <c r="D590" s="50"/>
      <c r="E590" s="37" t="s">
        <v>13</v>
      </c>
      <c r="F590" s="21"/>
      <c r="G590" s="38">
        <f>+G579+G588</f>
        <v>18947142.68</v>
      </c>
      <c r="H590" s="39">
        <f>+H579+H588</f>
        <v>1</v>
      </c>
    </row>
    <row r="591" spans="4:8" ht="6" customHeight="1" thickTop="1" x14ac:dyDescent="0.3">
      <c r="D591" s="51"/>
      <c r="E591" s="40"/>
      <c r="F591" s="41"/>
      <c r="G591" s="41"/>
      <c r="H591" s="36"/>
    </row>
    <row r="592" spans="4:8" x14ac:dyDescent="0.3">
      <c r="D592" s="52"/>
      <c r="E592" s="6"/>
      <c r="F592" s="7"/>
      <c r="G592" s="7"/>
      <c r="H592" s="8"/>
    </row>
    <row r="593" spans="4:11" x14ac:dyDescent="0.3">
      <c r="D593" s="52"/>
      <c r="E593" s="6"/>
      <c r="F593" s="7"/>
      <c r="G593" s="7"/>
      <c r="H593" s="8"/>
    </row>
    <row r="594" spans="4:11" x14ac:dyDescent="0.3">
      <c r="D594" s="52"/>
      <c r="E594" s="6"/>
      <c r="F594" s="7"/>
      <c r="G594" s="7"/>
      <c r="H594" s="8"/>
    </row>
    <row r="595" spans="4:11" ht="14.4" x14ac:dyDescent="0.3">
      <c r="D595" s="55" t="s">
        <v>28</v>
      </c>
      <c r="E595" s="55"/>
      <c r="F595" s="55"/>
      <c r="G595" s="55"/>
      <c r="H595" s="55"/>
    </row>
    <row r="596" spans="4:11" ht="6" customHeight="1" x14ac:dyDescent="0.3"/>
    <row r="597" spans="4:11" ht="12" customHeight="1" x14ac:dyDescent="0.3">
      <c r="D597" s="53" t="s">
        <v>1</v>
      </c>
      <c r="E597" s="54"/>
      <c r="F597" s="11" t="s">
        <v>36</v>
      </c>
      <c r="G597" s="12" t="s">
        <v>2</v>
      </c>
      <c r="H597" s="13" t="s">
        <v>3</v>
      </c>
    </row>
    <row r="598" spans="4:11" ht="4.8" customHeight="1" x14ac:dyDescent="0.3">
      <c r="D598" s="49"/>
      <c r="E598" s="44"/>
      <c r="F598" s="45"/>
      <c r="G598" s="46"/>
      <c r="H598" s="47"/>
    </row>
    <row r="599" spans="4:11" ht="12" customHeight="1" x14ac:dyDescent="0.3">
      <c r="D599" s="50" t="s">
        <v>37</v>
      </c>
      <c r="E599" s="14"/>
      <c r="F599" s="15"/>
      <c r="G599" s="16"/>
      <c r="H599" s="17"/>
    </row>
    <row r="600" spans="4:11" ht="12" customHeight="1" x14ac:dyDescent="0.3">
      <c r="D600" s="50"/>
      <c r="E600" s="14" t="s">
        <v>4</v>
      </c>
      <c r="F600" s="18"/>
      <c r="G600" s="19">
        <v>3467413.26</v>
      </c>
      <c r="H600" s="20">
        <f>+G600/G625</f>
        <v>7.5774163203223999E-2</v>
      </c>
    </row>
    <row r="601" spans="4:11" ht="12" customHeight="1" x14ac:dyDescent="0.3">
      <c r="D601" s="50"/>
      <c r="E601" s="14" t="s">
        <v>5</v>
      </c>
      <c r="F601" s="15"/>
      <c r="G601" s="4">
        <v>1588886.08</v>
      </c>
      <c r="H601" s="20">
        <f>+G601/G625</f>
        <v>3.4722285493379822E-2</v>
      </c>
    </row>
    <row r="602" spans="4:11" ht="12" customHeight="1" x14ac:dyDescent="0.3">
      <c r="D602" s="50"/>
      <c r="E602" s="14" t="s">
        <v>38</v>
      </c>
      <c r="F602" s="15"/>
      <c r="G602" s="22"/>
      <c r="H602" s="20"/>
    </row>
    <row r="603" spans="4:11" ht="12" customHeight="1" x14ac:dyDescent="0.3">
      <c r="D603" s="50"/>
      <c r="E603" s="23" t="s">
        <v>34</v>
      </c>
      <c r="G603" s="4">
        <v>684.65</v>
      </c>
      <c r="H603" s="20">
        <f>+G603/G625</f>
        <v>1.4961810706430567E-5</v>
      </c>
    </row>
    <row r="604" spans="4:11" ht="12" hidden="1" customHeight="1" x14ac:dyDescent="0.3">
      <c r="D604" s="50"/>
      <c r="E604" s="23" t="s">
        <v>8</v>
      </c>
      <c r="F604" s="21">
        <v>0</v>
      </c>
      <c r="G604" s="24"/>
      <c r="H604" s="14"/>
    </row>
    <row r="605" spans="4:11" ht="12" hidden="1" customHeight="1" x14ac:dyDescent="0.3">
      <c r="D605" s="50"/>
      <c r="E605" s="23" t="s">
        <v>9</v>
      </c>
      <c r="F605" s="25">
        <v>0</v>
      </c>
      <c r="G605" s="21">
        <f>SUM(F603:F605)</f>
        <v>0</v>
      </c>
    </row>
    <row r="606" spans="4:11" ht="12" customHeight="1" x14ac:dyDescent="0.3">
      <c r="D606" s="50"/>
      <c r="E606" s="14" t="s">
        <v>39</v>
      </c>
      <c r="F606" s="10"/>
      <c r="G606" s="22"/>
      <c r="H606" s="20"/>
      <c r="K606" s="1">
        <f>7.58+3.47+4.31+84.64</f>
        <v>100</v>
      </c>
    </row>
    <row r="607" spans="4:11" ht="12" customHeight="1" x14ac:dyDescent="0.3">
      <c r="D607" s="50"/>
      <c r="E607" s="23" t="s">
        <v>33</v>
      </c>
      <c r="F607" s="10">
        <v>486728.21</v>
      </c>
      <c r="G607" s="22"/>
      <c r="H607" s="20"/>
      <c r="K607" s="1">
        <f>15.36+84.64</f>
        <v>100</v>
      </c>
    </row>
    <row r="608" spans="4:11" ht="12" customHeight="1" x14ac:dyDescent="0.3">
      <c r="D608" s="50"/>
      <c r="E608" s="23" t="s">
        <v>6</v>
      </c>
      <c r="F608" s="21">
        <v>267685.19</v>
      </c>
      <c r="G608" s="22"/>
      <c r="H608" s="20"/>
    </row>
    <row r="609" spans="4:8" ht="12" customHeight="1" x14ac:dyDescent="0.3">
      <c r="D609" s="50"/>
      <c r="E609" s="23" t="s">
        <v>7</v>
      </c>
      <c r="F609" s="21">
        <v>228458.34</v>
      </c>
      <c r="G609" s="22"/>
      <c r="H609" s="20"/>
    </row>
    <row r="610" spans="4:8" ht="12" customHeight="1" x14ac:dyDescent="0.3">
      <c r="D610" s="50"/>
      <c r="E610" s="23" t="s">
        <v>31</v>
      </c>
      <c r="F610" s="21">
        <v>951348.82</v>
      </c>
      <c r="G610" s="22"/>
      <c r="H610" s="20"/>
    </row>
    <row r="611" spans="4:8" ht="12" customHeight="1" x14ac:dyDescent="0.3">
      <c r="D611" s="50"/>
      <c r="E611" s="23" t="s">
        <v>32</v>
      </c>
      <c r="F611" s="25">
        <v>39234.800000000003</v>
      </c>
      <c r="G611" s="5">
        <f>SUM(F607:F612)</f>
        <v>1973455.36</v>
      </c>
      <c r="H611" s="26">
        <f>+G611/G625</f>
        <v>4.3126364615366668E-2</v>
      </c>
    </row>
    <row r="612" spans="4:8" ht="12" hidden="1" customHeight="1" x14ac:dyDescent="0.3">
      <c r="D612" s="50"/>
      <c r="E612" s="23" t="s">
        <v>40</v>
      </c>
      <c r="F612" s="25">
        <v>0</v>
      </c>
    </row>
    <row r="613" spans="4:8" ht="2.4" customHeight="1" x14ac:dyDescent="0.3">
      <c r="D613" s="50"/>
      <c r="E613" s="14"/>
      <c r="F613" s="15"/>
      <c r="G613" s="21"/>
      <c r="H613" s="20"/>
    </row>
    <row r="614" spans="4:8" ht="12" customHeight="1" x14ac:dyDescent="0.3">
      <c r="D614" s="50"/>
      <c r="E614" s="27" t="s">
        <v>41</v>
      </c>
      <c r="F614" s="15"/>
      <c r="G614" s="28">
        <f>SUM(G600:G611)</f>
        <v>7030439.3500000006</v>
      </c>
      <c r="H614" s="29">
        <f>+G614/G625</f>
        <v>0.15363777512267693</v>
      </c>
    </row>
    <row r="615" spans="4:8" ht="6" customHeight="1" x14ac:dyDescent="0.3">
      <c r="D615" s="50"/>
      <c r="E615" s="27"/>
      <c r="F615" s="15"/>
      <c r="G615" s="30"/>
      <c r="H615" s="31"/>
    </row>
    <row r="616" spans="4:8" ht="12" hidden="1" customHeight="1" x14ac:dyDescent="0.3">
      <c r="D616" s="50" t="s">
        <v>35</v>
      </c>
      <c r="E616" s="32"/>
      <c r="F616" s="21"/>
      <c r="G616" s="15"/>
      <c r="H616" s="20"/>
    </row>
    <row r="617" spans="4:8" ht="12" hidden="1" customHeight="1" x14ac:dyDescent="0.3">
      <c r="D617" s="50"/>
      <c r="E617" s="33" t="s">
        <v>42</v>
      </c>
      <c r="F617" s="34"/>
      <c r="G617" s="10">
        <v>0</v>
      </c>
      <c r="H617" s="35">
        <f>+G617/G625</f>
        <v>0</v>
      </c>
    </row>
    <row r="618" spans="4:8" ht="6" customHeight="1" x14ac:dyDescent="0.3">
      <c r="D618" s="50"/>
      <c r="E618" s="27"/>
      <c r="F618" s="15"/>
      <c r="G618" s="30"/>
      <c r="H618" s="31"/>
    </row>
    <row r="619" spans="4:8" ht="12" customHeight="1" x14ac:dyDescent="0.3">
      <c r="D619" s="50" t="s">
        <v>10</v>
      </c>
      <c r="E619" s="14"/>
      <c r="F619" s="15"/>
      <c r="G619" s="21"/>
      <c r="H619" s="20"/>
    </row>
    <row r="620" spans="4:8" ht="12" customHeight="1" x14ac:dyDescent="0.3">
      <c r="D620" s="50"/>
      <c r="E620" s="14" t="s">
        <v>11</v>
      </c>
      <c r="F620" s="10">
        <v>33803649.450000003</v>
      </c>
      <c r="G620" s="21"/>
      <c r="H620" s="20"/>
    </row>
    <row r="621" spans="4:8" ht="12" customHeight="1" x14ac:dyDescent="0.3">
      <c r="D621" s="50"/>
      <c r="E621" s="14" t="s">
        <v>12</v>
      </c>
      <c r="F621" s="25">
        <v>4925746.92</v>
      </c>
      <c r="G621" s="25">
        <f>SUM(F620:F621)</f>
        <v>38729396.370000005</v>
      </c>
      <c r="H621" s="36">
        <f>+G621/G625</f>
        <v>0.84636222487732304</v>
      </c>
    </row>
    <row r="622" spans="4:8" ht="2.4" customHeight="1" x14ac:dyDescent="0.3">
      <c r="D622" s="50"/>
      <c r="E622" s="32"/>
      <c r="F622" s="21"/>
      <c r="G622" s="15"/>
      <c r="H622" s="20"/>
    </row>
    <row r="623" spans="4:8" ht="12" customHeight="1" x14ac:dyDescent="0.3">
      <c r="D623" s="50"/>
      <c r="E623" s="27" t="s">
        <v>41</v>
      </c>
      <c r="F623" s="15"/>
      <c r="G623" s="28">
        <f>SUM(G618:G621)</f>
        <v>38729396.370000005</v>
      </c>
      <c r="H623" s="29">
        <f>+H617+H621</f>
        <v>0.84636222487732304</v>
      </c>
    </row>
    <row r="624" spans="4:8" ht="2.4" customHeight="1" x14ac:dyDescent="0.3">
      <c r="D624" s="50"/>
      <c r="E624" s="32"/>
      <c r="F624" s="21"/>
      <c r="G624" s="15"/>
      <c r="H624" s="20"/>
    </row>
    <row r="625" spans="4:11" ht="12.6" customHeight="1" thickBot="1" x14ac:dyDescent="0.35">
      <c r="D625" s="50"/>
      <c r="E625" s="37" t="s">
        <v>13</v>
      </c>
      <c r="F625" s="21"/>
      <c r="G625" s="38">
        <f>+G614+G623</f>
        <v>45759835.720000006</v>
      </c>
      <c r="H625" s="39">
        <f>+H614+H623</f>
        <v>1</v>
      </c>
    </row>
    <row r="626" spans="4:11" ht="6" customHeight="1" thickTop="1" x14ac:dyDescent="0.3">
      <c r="D626" s="51"/>
      <c r="E626" s="40"/>
      <c r="F626" s="41"/>
      <c r="G626" s="41"/>
      <c r="H626" s="36"/>
    </row>
    <row r="628" spans="4:11" ht="14.4" x14ac:dyDescent="0.3">
      <c r="D628" s="55" t="s">
        <v>29</v>
      </c>
      <c r="E628" s="55"/>
      <c r="F628" s="55"/>
      <c r="G628" s="55"/>
      <c r="H628" s="55"/>
    </row>
    <row r="629" spans="4:11" ht="6" customHeight="1" x14ac:dyDescent="0.3"/>
    <row r="630" spans="4:11" ht="12" customHeight="1" x14ac:dyDescent="0.3">
      <c r="D630" s="53" t="s">
        <v>1</v>
      </c>
      <c r="E630" s="54"/>
      <c r="F630" s="11" t="s">
        <v>36</v>
      </c>
      <c r="G630" s="12" t="s">
        <v>2</v>
      </c>
      <c r="H630" s="13" t="s">
        <v>3</v>
      </c>
    </row>
    <row r="631" spans="4:11" ht="4.8" customHeight="1" x14ac:dyDescent="0.3">
      <c r="D631" s="49"/>
      <c r="E631" s="44"/>
      <c r="F631" s="45"/>
      <c r="G631" s="46"/>
      <c r="H631" s="47"/>
    </row>
    <row r="632" spans="4:11" ht="12" customHeight="1" x14ac:dyDescent="0.3">
      <c r="D632" s="50" t="s">
        <v>37</v>
      </c>
      <c r="E632" s="14"/>
      <c r="F632" s="15"/>
      <c r="G632" s="16"/>
      <c r="H632" s="17"/>
    </row>
    <row r="633" spans="4:11" ht="12" customHeight="1" x14ac:dyDescent="0.3">
      <c r="D633" s="50"/>
      <c r="E633" s="14" t="s">
        <v>4</v>
      </c>
      <c r="F633" s="18"/>
      <c r="G633" s="19">
        <v>3673771.43</v>
      </c>
      <c r="H633" s="20">
        <f>+G633/G658</f>
        <v>0.16496844118355977</v>
      </c>
    </row>
    <row r="634" spans="4:11" ht="12" customHeight="1" x14ac:dyDescent="0.3">
      <c r="D634" s="50"/>
      <c r="E634" s="14" t="s">
        <v>5</v>
      </c>
      <c r="F634" s="15"/>
      <c r="G634" s="4">
        <v>1642535.74</v>
      </c>
      <c r="H634" s="20">
        <f>+G634/G658-0.00001</f>
        <v>7.3747054781191118E-2</v>
      </c>
    </row>
    <row r="635" spans="4:11" ht="12" customHeight="1" x14ac:dyDescent="0.3">
      <c r="D635" s="50"/>
      <c r="E635" s="14" t="s">
        <v>38</v>
      </c>
      <c r="F635" s="15"/>
      <c r="G635" s="22"/>
      <c r="H635" s="20"/>
    </row>
    <row r="636" spans="4:11" ht="12" customHeight="1" x14ac:dyDescent="0.3">
      <c r="D636" s="50"/>
      <c r="E636" s="23" t="s">
        <v>34</v>
      </c>
      <c r="G636" s="4">
        <v>80.78</v>
      </c>
      <c r="H636" s="20">
        <f>+G636/G658</f>
        <v>3.627376099118926E-6</v>
      </c>
    </row>
    <row r="637" spans="4:11" ht="12" hidden="1" customHeight="1" x14ac:dyDescent="0.3">
      <c r="D637" s="50"/>
      <c r="E637" s="23" t="s">
        <v>8</v>
      </c>
      <c r="F637" s="21">
        <v>0</v>
      </c>
      <c r="G637" s="24"/>
      <c r="H637" s="43"/>
    </row>
    <row r="638" spans="4:11" ht="12" hidden="1" customHeight="1" x14ac:dyDescent="0.3">
      <c r="D638" s="50"/>
      <c r="E638" s="23" t="s">
        <v>9</v>
      </c>
      <c r="F638" s="25">
        <v>0</v>
      </c>
      <c r="G638" s="21">
        <f>SUM(F636:F638)</f>
        <v>0</v>
      </c>
    </row>
    <row r="639" spans="4:11" ht="12" customHeight="1" x14ac:dyDescent="0.3">
      <c r="D639" s="50"/>
      <c r="E639" s="14" t="s">
        <v>39</v>
      </c>
      <c r="F639" s="10"/>
      <c r="G639" s="22"/>
      <c r="H639" s="20"/>
      <c r="K639" s="1">
        <f>16.5+7.37+4.69+71.44</f>
        <v>100</v>
      </c>
    </row>
    <row r="640" spans="4:11" ht="12" customHeight="1" x14ac:dyDescent="0.3">
      <c r="D640" s="50"/>
      <c r="E640" s="23" t="s">
        <v>33</v>
      </c>
      <c r="F640" s="10">
        <v>477425.94</v>
      </c>
      <c r="G640" s="22"/>
      <c r="H640" s="20"/>
      <c r="K640" s="1">
        <f>28.56+71.44</f>
        <v>100</v>
      </c>
    </row>
    <row r="641" spans="4:8" ht="12" customHeight="1" x14ac:dyDescent="0.3">
      <c r="D641" s="50"/>
      <c r="E641" s="23" t="s">
        <v>6</v>
      </c>
      <c r="F641" s="21">
        <v>91341.86</v>
      </c>
      <c r="G641" s="22"/>
      <c r="H641" s="20"/>
    </row>
    <row r="642" spans="4:8" ht="12" customHeight="1" x14ac:dyDescent="0.3">
      <c r="D642" s="50"/>
      <c r="E642" s="23" t="s">
        <v>7</v>
      </c>
      <c r="F642" s="21">
        <v>78762.23</v>
      </c>
      <c r="G642" s="22"/>
      <c r="H642" s="20"/>
    </row>
    <row r="643" spans="4:8" ht="12" customHeight="1" x14ac:dyDescent="0.3">
      <c r="D643" s="50"/>
      <c r="E643" s="23" t="s">
        <v>31</v>
      </c>
      <c r="F643" s="21">
        <v>361999.09</v>
      </c>
      <c r="G643" s="22"/>
      <c r="H643" s="20"/>
    </row>
    <row r="644" spans="4:8" ht="12" customHeight="1" x14ac:dyDescent="0.3">
      <c r="D644" s="50"/>
      <c r="E644" s="23" t="s">
        <v>32</v>
      </c>
      <c r="F644" s="25">
        <v>34032.17</v>
      </c>
      <c r="G644" s="5">
        <f>SUM(F640:F645)</f>
        <v>1043561.2900000002</v>
      </c>
      <c r="H644" s="26">
        <f>+G644/G658</f>
        <v>4.686047637177166E-2</v>
      </c>
    </row>
    <row r="645" spans="4:8" ht="12" hidden="1" customHeight="1" x14ac:dyDescent="0.3">
      <c r="D645" s="50"/>
      <c r="E645" s="23" t="s">
        <v>40</v>
      </c>
      <c r="F645" s="25">
        <v>0</v>
      </c>
    </row>
    <row r="646" spans="4:8" ht="2.4" customHeight="1" x14ac:dyDescent="0.3">
      <c r="D646" s="50"/>
      <c r="E646" s="14"/>
      <c r="F646" s="15"/>
      <c r="G646" s="21"/>
      <c r="H646" s="20"/>
    </row>
    <row r="647" spans="4:8" ht="12" customHeight="1" x14ac:dyDescent="0.3">
      <c r="D647" s="50"/>
      <c r="E647" s="27" t="s">
        <v>41</v>
      </c>
      <c r="F647" s="15"/>
      <c r="G647" s="28">
        <f>SUM(G633:G644)</f>
        <v>6359949.2400000002</v>
      </c>
      <c r="H647" s="29">
        <f>+G647/G658</f>
        <v>0.28558959971262166</v>
      </c>
    </row>
    <row r="648" spans="4:8" ht="6" customHeight="1" x14ac:dyDescent="0.3">
      <c r="D648" s="50"/>
      <c r="E648" s="27"/>
      <c r="F648" s="15"/>
      <c r="G648" s="30"/>
      <c r="H648" s="31"/>
    </row>
    <row r="649" spans="4:8" ht="12" hidden="1" customHeight="1" x14ac:dyDescent="0.3">
      <c r="D649" s="50" t="s">
        <v>35</v>
      </c>
      <c r="E649" s="32"/>
      <c r="F649" s="21"/>
      <c r="G649" s="15"/>
      <c r="H649" s="20"/>
    </row>
    <row r="650" spans="4:8" ht="12" hidden="1" customHeight="1" x14ac:dyDescent="0.3">
      <c r="D650" s="50"/>
      <c r="E650" s="33" t="s">
        <v>42</v>
      </c>
      <c r="F650" s="34"/>
      <c r="G650" s="10">
        <v>0</v>
      </c>
      <c r="H650" s="35">
        <f>+G650/G658</f>
        <v>0</v>
      </c>
    </row>
    <row r="651" spans="4:8" ht="6" customHeight="1" x14ac:dyDescent="0.3">
      <c r="D651" s="50"/>
      <c r="E651" s="27"/>
      <c r="F651" s="15"/>
      <c r="G651" s="30"/>
      <c r="H651" s="31"/>
    </row>
    <row r="652" spans="4:8" ht="12" customHeight="1" x14ac:dyDescent="0.3">
      <c r="D652" s="50" t="s">
        <v>10</v>
      </c>
      <c r="E652" s="14"/>
      <c r="F652" s="15"/>
      <c r="G652" s="21"/>
      <c r="H652" s="20"/>
    </row>
    <row r="653" spans="4:8" ht="12" customHeight="1" x14ac:dyDescent="0.3">
      <c r="D653" s="50"/>
      <c r="E653" s="14" t="s">
        <v>11</v>
      </c>
      <c r="F653" s="10">
        <v>14272462.83</v>
      </c>
      <c r="G653" s="21"/>
      <c r="H653" s="20"/>
    </row>
    <row r="654" spans="4:8" ht="12" customHeight="1" x14ac:dyDescent="0.3">
      <c r="D654" s="50"/>
      <c r="E654" s="14" t="s">
        <v>12</v>
      </c>
      <c r="F654" s="25">
        <v>1637128.72</v>
      </c>
      <c r="G654" s="25">
        <f>SUM(F653:F654)</f>
        <v>15909591.550000001</v>
      </c>
      <c r="H654" s="36">
        <f>+G654/G658</f>
        <v>0.71441040028737846</v>
      </c>
    </row>
    <row r="655" spans="4:8" ht="2.4" customHeight="1" x14ac:dyDescent="0.3">
      <c r="D655" s="50"/>
      <c r="E655" s="32"/>
      <c r="F655" s="21"/>
      <c r="G655" s="15"/>
      <c r="H655" s="20"/>
    </row>
    <row r="656" spans="4:8" ht="12" customHeight="1" x14ac:dyDescent="0.3">
      <c r="D656" s="50"/>
      <c r="E656" s="27" t="s">
        <v>41</v>
      </c>
      <c r="F656" s="15"/>
      <c r="G656" s="28">
        <f>SUM(G650:G654)</f>
        <v>15909591.550000001</v>
      </c>
      <c r="H656" s="29">
        <f>+H650+H654</f>
        <v>0.71441040028737846</v>
      </c>
    </row>
    <row r="657" spans="4:8" ht="2.4" customHeight="1" x14ac:dyDescent="0.3">
      <c r="D657" s="50"/>
      <c r="E657" s="32"/>
      <c r="F657" s="21"/>
      <c r="G657" s="15"/>
      <c r="H657" s="20"/>
    </row>
    <row r="658" spans="4:8" ht="12.6" customHeight="1" thickBot="1" x14ac:dyDescent="0.35">
      <c r="D658" s="50"/>
      <c r="E658" s="37" t="s">
        <v>13</v>
      </c>
      <c r="F658" s="21"/>
      <c r="G658" s="38">
        <f>+G647+G656</f>
        <v>22269540.789999999</v>
      </c>
      <c r="H658" s="39">
        <f>+H647+H656</f>
        <v>1</v>
      </c>
    </row>
    <row r="659" spans="4:8" ht="6" customHeight="1" thickTop="1" x14ac:dyDescent="0.3">
      <c r="D659" s="51"/>
      <c r="E659" s="40"/>
      <c r="F659" s="41"/>
      <c r="G659" s="41"/>
      <c r="H659" s="36"/>
    </row>
    <row r="660" spans="4:8" x14ac:dyDescent="0.3">
      <c r="D660" s="52"/>
      <c r="E660" s="6"/>
      <c r="F660" s="7"/>
      <c r="G660" s="7"/>
      <c r="H660" s="8"/>
    </row>
    <row r="661" spans="4:8" x14ac:dyDescent="0.3">
      <c r="D661" s="52"/>
      <c r="E661" s="6"/>
      <c r="F661" s="7"/>
      <c r="G661" s="7"/>
      <c r="H661" s="8"/>
    </row>
    <row r="662" spans="4:8" x14ac:dyDescent="0.3">
      <c r="D662" s="52"/>
      <c r="E662" s="6"/>
      <c r="F662" s="7"/>
      <c r="G662" s="7"/>
      <c r="H662" s="8"/>
    </row>
    <row r="663" spans="4:8" ht="14.4" x14ac:dyDescent="0.3">
      <c r="D663" s="55" t="s">
        <v>30</v>
      </c>
      <c r="E663" s="55"/>
      <c r="F663" s="55"/>
      <c r="G663" s="55"/>
      <c r="H663" s="55"/>
    </row>
    <row r="664" spans="4:8" ht="5.25" customHeight="1" x14ac:dyDescent="0.3"/>
    <row r="665" spans="4:8" ht="12" customHeight="1" x14ac:dyDescent="0.3">
      <c r="D665" s="53" t="s">
        <v>1</v>
      </c>
      <c r="E665" s="54"/>
      <c r="F665" s="11" t="s">
        <v>36</v>
      </c>
      <c r="G665" s="12" t="s">
        <v>2</v>
      </c>
      <c r="H665" s="13" t="s">
        <v>3</v>
      </c>
    </row>
    <row r="666" spans="4:8" ht="4.8" customHeight="1" x14ac:dyDescent="0.3">
      <c r="D666" s="49"/>
      <c r="E666" s="44"/>
      <c r="F666" s="45"/>
      <c r="G666" s="46"/>
      <c r="H666" s="47"/>
    </row>
    <row r="667" spans="4:8" ht="12" customHeight="1" x14ac:dyDescent="0.3">
      <c r="D667" s="50" t="s">
        <v>37</v>
      </c>
      <c r="E667" s="14"/>
      <c r="F667" s="15"/>
      <c r="G667" s="16"/>
      <c r="H667" s="17"/>
    </row>
    <row r="668" spans="4:8" ht="12" customHeight="1" x14ac:dyDescent="0.3">
      <c r="D668" s="50"/>
      <c r="E668" s="14" t="s">
        <v>4</v>
      </c>
      <c r="F668" s="18"/>
      <c r="G668" s="19">
        <v>6407233.6699999999</v>
      </c>
      <c r="H668" s="20">
        <f>+G668/G693</f>
        <v>0.15257035201463276</v>
      </c>
    </row>
    <row r="669" spans="4:8" ht="12" customHeight="1" x14ac:dyDescent="0.3">
      <c r="D669" s="50"/>
      <c r="E669" s="14" t="s">
        <v>5</v>
      </c>
      <c r="F669" s="15"/>
      <c r="G669" s="4">
        <v>2592025.21</v>
      </c>
      <c r="H669" s="20">
        <f>+G669/G693</f>
        <v>6.1721831774632682E-2</v>
      </c>
    </row>
    <row r="670" spans="4:8" ht="12" customHeight="1" x14ac:dyDescent="0.3">
      <c r="D670" s="50"/>
      <c r="E670" s="14" t="s">
        <v>38</v>
      </c>
      <c r="F670" s="15"/>
      <c r="G670" s="22"/>
      <c r="H670" s="20"/>
    </row>
    <row r="671" spans="4:8" ht="12" customHeight="1" x14ac:dyDescent="0.3">
      <c r="D671" s="50"/>
      <c r="E671" s="23" t="s">
        <v>34</v>
      </c>
      <c r="G671" s="4">
        <v>458785.23</v>
      </c>
      <c r="H671" s="20">
        <f>+G671/G693</f>
        <v>1.0924687259020202E-2</v>
      </c>
    </row>
    <row r="672" spans="4:8" ht="12" hidden="1" customHeight="1" x14ac:dyDescent="0.3">
      <c r="D672" s="50"/>
      <c r="E672" s="23" t="s">
        <v>8</v>
      </c>
      <c r="F672" s="21">
        <v>0</v>
      </c>
      <c r="G672" s="24"/>
      <c r="H672" s="14"/>
    </row>
    <row r="673" spans="4:11" ht="12" hidden="1" customHeight="1" x14ac:dyDescent="0.3">
      <c r="D673" s="50"/>
      <c r="E673" s="23" t="s">
        <v>9</v>
      </c>
      <c r="F673" s="25">
        <v>0</v>
      </c>
      <c r="G673" s="21">
        <f>SUM(F671:F673)</f>
        <v>0</v>
      </c>
    </row>
    <row r="674" spans="4:11" ht="12" customHeight="1" x14ac:dyDescent="0.3">
      <c r="D674" s="50"/>
      <c r="E674" s="14" t="s">
        <v>39</v>
      </c>
      <c r="F674" s="10"/>
      <c r="G674" s="22"/>
      <c r="H674" s="20"/>
      <c r="K674" s="1">
        <f>15.26+6.17+1.09+25.76+51.72</f>
        <v>100</v>
      </c>
    </row>
    <row r="675" spans="4:11" ht="12" customHeight="1" x14ac:dyDescent="0.3">
      <c r="D675" s="50"/>
      <c r="E675" s="23" t="s">
        <v>33</v>
      </c>
      <c r="F675" s="10">
        <v>257788.86</v>
      </c>
      <c r="G675" s="22"/>
      <c r="H675" s="20"/>
      <c r="K675" s="1">
        <f>48.28+51.72</f>
        <v>100</v>
      </c>
    </row>
    <row r="676" spans="4:11" ht="12" customHeight="1" x14ac:dyDescent="0.3">
      <c r="D676" s="50"/>
      <c r="E676" s="23" t="s">
        <v>6</v>
      </c>
      <c r="F676" s="21">
        <v>799931.2</v>
      </c>
      <c r="G676" s="22"/>
      <c r="H676" s="20"/>
    </row>
    <row r="677" spans="4:11" ht="12" customHeight="1" x14ac:dyDescent="0.3">
      <c r="D677" s="50"/>
      <c r="E677" s="23" t="s">
        <v>7</v>
      </c>
      <c r="F677" s="21">
        <v>725719.35</v>
      </c>
      <c r="G677" s="22"/>
      <c r="H677" s="20"/>
    </row>
    <row r="678" spans="4:11" ht="12" customHeight="1" x14ac:dyDescent="0.3">
      <c r="D678" s="50"/>
      <c r="E678" s="23" t="s">
        <v>31</v>
      </c>
      <c r="F678" s="21">
        <v>1170029.9099999999</v>
      </c>
      <c r="G678" s="22"/>
      <c r="H678" s="20"/>
    </row>
    <row r="679" spans="4:11" ht="12" customHeight="1" x14ac:dyDescent="0.3">
      <c r="D679" s="50"/>
      <c r="E679" s="23" t="s">
        <v>32</v>
      </c>
      <c r="F679" s="21">
        <v>85899.44</v>
      </c>
      <c r="G679" s="22"/>
      <c r="H679" s="20"/>
    </row>
    <row r="680" spans="4:11" ht="12" customHeight="1" x14ac:dyDescent="0.3">
      <c r="D680" s="50"/>
      <c r="E680" s="23" t="s">
        <v>40</v>
      </c>
      <c r="F680" s="25">
        <v>7778717</v>
      </c>
      <c r="G680" s="5">
        <f>SUM(F675:F680)</f>
        <v>10818085.76</v>
      </c>
      <c r="H680" s="26">
        <f>+G680/G693</f>
        <v>0.25760245958497807</v>
      </c>
    </row>
    <row r="681" spans="4:11" ht="2.4" customHeight="1" x14ac:dyDescent="0.3">
      <c r="D681" s="50"/>
      <c r="E681" s="14"/>
      <c r="F681" s="15"/>
      <c r="G681" s="21"/>
      <c r="H681" s="20"/>
    </row>
    <row r="682" spans="4:11" ht="12" customHeight="1" x14ac:dyDescent="0.3">
      <c r="D682" s="50"/>
      <c r="E682" s="27" t="s">
        <v>41</v>
      </c>
      <c r="F682" s="15"/>
      <c r="G682" s="28">
        <f>SUM(G668:G680)</f>
        <v>20276129.869999997</v>
      </c>
      <c r="H682" s="29">
        <f>+G682/G693</f>
        <v>0.48281933063326365</v>
      </c>
    </row>
    <row r="683" spans="4:11" ht="6" customHeight="1" x14ac:dyDescent="0.3">
      <c r="D683" s="50"/>
      <c r="E683" s="27"/>
      <c r="F683" s="15"/>
      <c r="G683" s="30"/>
      <c r="H683" s="31"/>
    </row>
    <row r="684" spans="4:11" ht="12" hidden="1" customHeight="1" x14ac:dyDescent="0.3">
      <c r="D684" s="50" t="s">
        <v>35</v>
      </c>
      <c r="E684" s="32"/>
      <c r="F684" s="21"/>
      <c r="G684" s="15"/>
      <c r="H684" s="20"/>
    </row>
    <row r="685" spans="4:11" ht="12" hidden="1" customHeight="1" x14ac:dyDescent="0.3">
      <c r="D685" s="50"/>
      <c r="E685" s="33" t="s">
        <v>42</v>
      </c>
      <c r="F685" s="34"/>
      <c r="G685" s="10">
        <v>0</v>
      </c>
      <c r="H685" s="35">
        <f>+G685/G693</f>
        <v>0</v>
      </c>
    </row>
    <row r="686" spans="4:11" ht="6" customHeight="1" x14ac:dyDescent="0.3">
      <c r="D686" s="50"/>
      <c r="E686" s="27"/>
      <c r="F686" s="15"/>
      <c r="G686" s="30"/>
      <c r="H686" s="31"/>
    </row>
    <row r="687" spans="4:11" ht="12" customHeight="1" x14ac:dyDescent="0.3">
      <c r="D687" s="50" t="s">
        <v>10</v>
      </c>
      <c r="E687" s="14"/>
      <c r="F687" s="15"/>
      <c r="G687" s="21"/>
      <c r="H687" s="20"/>
    </row>
    <row r="688" spans="4:11" ht="12" customHeight="1" x14ac:dyDescent="0.3">
      <c r="D688" s="50"/>
      <c r="E688" s="14" t="s">
        <v>11</v>
      </c>
      <c r="F688" s="10">
        <v>3882339.18</v>
      </c>
      <c r="G688" s="21"/>
      <c r="H688" s="20"/>
    </row>
    <row r="689" spans="4:8" ht="12" customHeight="1" x14ac:dyDescent="0.3">
      <c r="D689" s="50"/>
      <c r="E689" s="14" t="s">
        <v>12</v>
      </c>
      <c r="F689" s="25">
        <v>17836804.510000002</v>
      </c>
      <c r="G689" s="25">
        <f>SUM(F688:F689)</f>
        <v>21719143.690000001</v>
      </c>
      <c r="H689" s="36">
        <f>+G689/G693</f>
        <v>0.51718066936673623</v>
      </c>
    </row>
    <row r="690" spans="4:8" ht="2.4" customHeight="1" x14ac:dyDescent="0.3">
      <c r="D690" s="50"/>
      <c r="E690" s="32"/>
      <c r="F690" s="21"/>
      <c r="G690" s="15"/>
      <c r="H690" s="20"/>
    </row>
    <row r="691" spans="4:8" ht="12" customHeight="1" x14ac:dyDescent="0.3">
      <c r="D691" s="50"/>
      <c r="E691" s="27" t="s">
        <v>41</v>
      </c>
      <c r="F691" s="15"/>
      <c r="G691" s="28">
        <f>SUM(G685:G689)</f>
        <v>21719143.690000001</v>
      </c>
      <c r="H691" s="29">
        <f>+H685+H689</f>
        <v>0.51718066936673623</v>
      </c>
    </row>
    <row r="692" spans="4:8" ht="2.4" customHeight="1" x14ac:dyDescent="0.3">
      <c r="D692" s="50"/>
      <c r="E692" s="32"/>
      <c r="F692" s="21"/>
      <c r="G692" s="15"/>
      <c r="H692" s="20"/>
    </row>
    <row r="693" spans="4:8" ht="12.6" customHeight="1" thickBot="1" x14ac:dyDescent="0.35">
      <c r="D693" s="50"/>
      <c r="E693" s="37" t="s">
        <v>13</v>
      </c>
      <c r="F693" s="21"/>
      <c r="G693" s="38">
        <f>+G682+G691</f>
        <v>41995273.560000002</v>
      </c>
      <c r="H693" s="39">
        <f>+H682+H691</f>
        <v>0.99999999999999989</v>
      </c>
    </row>
    <row r="694" spans="4:8" ht="6" customHeight="1" thickTop="1" x14ac:dyDescent="0.3">
      <c r="D694" s="51"/>
      <c r="E694" s="40"/>
      <c r="F694" s="41"/>
      <c r="G694" s="41"/>
      <c r="H694" s="36"/>
    </row>
    <row r="697" spans="4:8" x14ac:dyDescent="0.3">
      <c r="G697" s="9"/>
    </row>
    <row r="698" spans="4:8" x14ac:dyDescent="0.3">
      <c r="G698" s="9"/>
    </row>
  </sheetData>
  <mergeCells count="40">
    <mergeCell ref="D85:H85"/>
    <mergeCell ref="D87:E87"/>
    <mergeCell ref="D120:H120"/>
    <mergeCell ref="D122:E122"/>
    <mergeCell ref="D18:H18"/>
    <mergeCell ref="D20:E20"/>
    <mergeCell ref="D53:H53"/>
    <mergeCell ref="D55:E55"/>
    <mergeCell ref="D152:H152"/>
    <mergeCell ref="D154:E154"/>
    <mergeCell ref="D187:H187"/>
    <mergeCell ref="D189:E189"/>
    <mergeCell ref="D220:H220"/>
    <mergeCell ref="D222:E222"/>
    <mergeCell ref="D255:H255"/>
    <mergeCell ref="D257:E257"/>
    <mergeCell ref="D288:H288"/>
    <mergeCell ref="D290:E290"/>
    <mergeCell ref="D323:H323"/>
    <mergeCell ref="D325:E325"/>
    <mergeCell ref="D356:H356"/>
    <mergeCell ref="D358:E358"/>
    <mergeCell ref="D391:H391"/>
    <mergeCell ref="D393:E393"/>
    <mergeCell ref="D424:H424"/>
    <mergeCell ref="D426:E426"/>
    <mergeCell ref="D459:H459"/>
    <mergeCell ref="D461:E461"/>
    <mergeCell ref="D492:H492"/>
    <mergeCell ref="D494:E494"/>
    <mergeCell ref="D527:H527"/>
    <mergeCell ref="D529:E529"/>
    <mergeCell ref="D663:H663"/>
    <mergeCell ref="D665:E665"/>
    <mergeCell ref="D560:H560"/>
    <mergeCell ref="D562:E562"/>
    <mergeCell ref="D595:H595"/>
    <mergeCell ref="D597:E597"/>
    <mergeCell ref="D628:H628"/>
    <mergeCell ref="D630:E630"/>
  </mergeCells>
  <pageMargins left="0.59055118110236227" right="0.70866141732283472" top="0.39370078740157483" bottom="0.98425196850393704" header="0.31496062992125984" footer="0.39370078740157483"/>
  <pageSetup paperSize="256" scale="80" firstPageNumber="28" orientation="portrait" useFirstPageNumber="1" r:id="rId1"/>
  <headerFooter alignWithMargins="0">
    <oddFooter>&amp;C&amp;"Times New Roman,Normal"&amp;12&amp;P</oddFooter>
  </headerFooter>
  <rowBreaks count="9" manualBreakCount="9">
    <brk id="84" max="7" man="1"/>
    <brk id="151" max="7" man="1"/>
    <brk id="219" max="7" man="1"/>
    <brk id="287" max="7" man="1"/>
    <brk id="355" max="7" man="1"/>
    <brk id="423" max="7" man="1"/>
    <brk id="491" max="7" man="1"/>
    <brk id="559" max="7" man="1"/>
    <brk id="62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Company>GOBIERNO DEL ESTADO NAYARIT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eorozco</dc:creator>
  <cp:lastModifiedBy>Mramos2</cp:lastModifiedBy>
  <cp:lastPrinted>2016-06-10T16:45:19Z</cp:lastPrinted>
  <dcterms:created xsi:type="dcterms:W3CDTF">2012-06-06T14:59:05Z</dcterms:created>
  <dcterms:modified xsi:type="dcterms:W3CDTF">2016-06-10T17:23:18Z</dcterms:modified>
</cp:coreProperties>
</file>