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UESAF\Documents\Mis documentos\TRANSPARENCIA SAF\ITDIF 2021\"/>
    </mc:Choice>
  </mc:AlternateContent>
  <bookViews>
    <workbookView xWindow="0" yWindow="0" windowWidth="28800" windowHeight="12435"/>
  </bookViews>
  <sheets>
    <sheet name="CALENDARIO 2021" sheetId="23" r:id="rId1"/>
    <sheet name="Consolidado" sheetId="3" r:id="rId2"/>
    <sheet name="FGP" sheetId="4" r:id="rId3"/>
    <sheet name="FFM" sheetId="5" r:id="rId4"/>
    <sheet name="FOCO" sheetId="22" state="veryHidden" r:id="rId5"/>
    <sheet name="FOFIR" sheetId="8" r:id="rId6"/>
    <sheet name="IEPS TyA" sheetId="20" r:id="rId7"/>
    <sheet name="IEPS GyD " sheetId="7" r:id="rId8"/>
    <sheet name="Incentivo ISAN" sheetId="14" r:id="rId9"/>
    <sheet name="FOCO ISAN" sheetId="13" r:id="rId10"/>
    <sheet name="IEPS 2014 " sheetId="21" r:id="rId11"/>
    <sheet name="Predial y Agua" sheetId="1" r:id="rId12"/>
    <sheet name="CENSO 2020" sheetId="11" r:id="rId13"/>
    <sheet name="FOCO ISAN (2)" sheetId="32" state="veryHidden" r:id="rId14"/>
    <sheet name="FOCO 2020" sheetId="34" state="veryHidden" r:id="rId15"/>
    <sheet name=" FOCO INCREMENTO" sheetId="35" state="veryHidden" r:id="rId16"/>
    <sheet name=" FOCO ESTIMACION" sheetId="36" state="veryHidden" r:id="rId17"/>
    <sheet name="F.G.P. 2021" sheetId="50" r:id="rId18"/>
    <sheet name="F.F.M.2021" sheetId="46" r:id="rId19"/>
    <sheet name="FOFIR 2021" sheetId="37" r:id="rId20"/>
    <sheet name="IEPS2021" sheetId="43" r:id="rId21"/>
    <sheet name="IEPSGAS 2021" sheetId="40" r:id="rId22"/>
    <sheet name="FOFIR  INCREMENTO" sheetId="38" state="veryHidden" r:id="rId23"/>
    <sheet name="FOFIR ESTIMACIONES" sheetId="39" state="veryHidden" r:id="rId24"/>
    <sheet name="IEPSGASINCREMENTO" sheetId="41" state="veryHidden" r:id="rId25"/>
    <sheet name="IEPSGAS ESTIMACIONES" sheetId="42" state="veryHidden" r:id="rId26"/>
    <sheet name="IEPS INCREMENTO" sheetId="44" state="veryHidden" r:id="rId27"/>
    <sheet name="IEPS ESTIMACIONES" sheetId="45" state="veryHidden" r:id="rId28"/>
    <sheet name="F.F.M30%" sheetId="47" state="veryHidden" r:id="rId29"/>
    <sheet name="F.F.M.70%" sheetId="48" state="veryHidden" r:id="rId30"/>
    <sheet name="F.F.M.ESTIIMACIONES 2014" sheetId="49" state="veryHidden" r:id="rId31"/>
    <sheet name="F.G.P.INCREMENTO" sheetId="51" state="veryHidden" r:id="rId32"/>
    <sheet name="F.G.P. ESTIMACIONES 2014" sheetId="52" state="veryHidden" r:id="rId33"/>
    <sheet name="Datos" sheetId="15" state="veryHidden" r:id="rId34"/>
    <sheet name="F.G.P. 2020 (2)" sheetId="56" state="veryHidden" r:id="rId35"/>
    <sheet name="F.F.M.2020 (2)" sheetId="57" state="veryHidden" r:id="rId36"/>
    <sheet name="FOCO 2020 (2)" sheetId="58" state="veryHidden" r:id="rId37"/>
    <sheet name="IEPS2020 (2)" sheetId="59" state="veryHidden" r:id="rId38"/>
    <sheet name="IEPSGAS 2020 (2)" sheetId="60" state="veryHidden" r:id="rId39"/>
    <sheet name="FOFIR 2020 (2)" sheetId="61" state="veryHidden" r:id="rId40"/>
    <sheet name="ISAN RECAUDACION 2021" sheetId="33" r:id="rId41"/>
    <sheet name="FOCO ISAN 2021 " sheetId="62" r:id="rId42"/>
    <sheet name="ISAN Recaudacion (2)" sheetId="63" state="veryHidden" r:id="rId43"/>
    <sheet name="X22.55 POE" sheetId="64" state="veryHidden" r:id="rId44"/>
    <sheet name="FGP 30%" sheetId="18" state="veryHidden" r:id="rId45"/>
    <sheet name="FGP 10%" sheetId="19" state="veryHidden" r:id="rId46"/>
  </sheets>
  <externalReferences>
    <externalReference r:id="rId47"/>
    <externalReference r:id="rId48"/>
    <externalReference r:id="rId49"/>
    <externalReference r:id="rId50"/>
    <externalReference r:id="rId51"/>
    <externalReference r:id="rId52"/>
    <externalReference r:id="rId53"/>
  </externalReferences>
  <definedNames>
    <definedName name="_xlnm.Print_Area" localSheetId="0">'CALENDARIO 2021'!$A$1:$G$53</definedName>
    <definedName name="_xlnm.Print_Area" localSheetId="12">'CENSO 2020'!$B$3:$C$34</definedName>
    <definedName name="_xlnm.Print_Area" localSheetId="33">Datos!$B$2:$K$67</definedName>
    <definedName name="_xlnm.Print_Area" localSheetId="18">F.F.M.2021!$A$2:$O$26</definedName>
    <definedName name="_xlnm.Print_Area" localSheetId="17">'F.G.P. 2021'!$A$2:$O$26</definedName>
    <definedName name="_xlnm.Print_Area" localSheetId="9">'FOCO ISAN'!$B$2:$J$30</definedName>
    <definedName name="_xlnm.Print_Area" localSheetId="41">'FOCO ISAN 2021 '!$A$2:$O$26</definedName>
    <definedName name="_xlnm.Print_Area" localSheetId="5">FOFIR!$B$2:$K$34</definedName>
    <definedName name="_xlnm.Print_Area" localSheetId="19">'FOFIR 2021'!$A$2:$O$26</definedName>
    <definedName name="_xlnm.Print_Area" localSheetId="10">'IEPS 2014 '!$A$1:$O$31</definedName>
    <definedName name="_xlnm.Print_Area" localSheetId="7">'IEPS GyD '!$B$2:$H$33</definedName>
    <definedName name="_xlnm.Print_Area" localSheetId="6">'IEPS TyA'!$B$1:$G$31</definedName>
    <definedName name="_xlnm.Print_Area" localSheetId="20">IEPS2021!$A$2:$O$28</definedName>
    <definedName name="_xlnm.Print_Area" localSheetId="21">'IEPSGAS 2021'!$A$2:$O$26</definedName>
    <definedName name="_xlnm.Print_Area" localSheetId="8">'Incentivo ISAN'!$B$2:$L$30</definedName>
    <definedName name="_xlnm.Print_Area" localSheetId="40">'ISAN RECAUDACION 2021'!$A$2:$O$26</definedName>
    <definedName name="_xlnm.Print_Area" localSheetId="11">'Predial y Agua'!$A$3:$G$29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2" i="39" l="1"/>
  <c r="E32" i="39"/>
  <c r="F32" i="39"/>
  <c r="G32" i="39"/>
  <c r="H32" i="39"/>
  <c r="I32" i="39"/>
  <c r="J32" i="39"/>
  <c r="K32" i="39"/>
  <c r="L32" i="39"/>
  <c r="M32" i="39"/>
  <c r="N32" i="39"/>
  <c r="D31" i="41"/>
  <c r="E31" i="41"/>
  <c r="F31" i="41"/>
  <c r="G31" i="41"/>
  <c r="H31" i="41"/>
  <c r="I31" i="41"/>
  <c r="J31" i="41"/>
  <c r="K31" i="41"/>
  <c r="L31" i="41"/>
  <c r="M31" i="41"/>
  <c r="N31" i="41"/>
  <c r="C31" i="41"/>
  <c r="D31" i="45"/>
  <c r="E31" i="45"/>
  <c r="F31" i="45"/>
  <c r="G31" i="45"/>
  <c r="H31" i="45"/>
  <c r="I31" i="45"/>
  <c r="J31" i="45"/>
  <c r="K31" i="45"/>
  <c r="L31" i="45"/>
  <c r="M31" i="45"/>
  <c r="N31" i="45"/>
  <c r="C31" i="45"/>
  <c r="D31" i="47"/>
  <c r="E31" i="47"/>
  <c r="F31" i="47"/>
  <c r="G31" i="47"/>
  <c r="H31" i="47"/>
  <c r="I31" i="47"/>
  <c r="J31" i="47"/>
  <c r="K31" i="47"/>
  <c r="L31" i="47"/>
  <c r="M31" i="47"/>
  <c r="N31" i="47"/>
  <c r="C31" i="47"/>
  <c r="O32" i="39" l="1"/>
  <c r="C32" i="39"/>
  <c r="O31" i="41"/>
  <c r="O31" i="45" l="1"/>
  <c r="O36" i="21"/>
  <c r="O31" i="47" l="1"/>
  <c r="B8" i="47"/>
  <c r="C8" i="47" s="1"/>
  <c r="B9" i="47"/>
  <c r="C9" i="47" s="1"/>
  <c r="B10" i="47"/>
  <c r="C10" i="47" s="1"/>
  <c r="B11" i="47"/>
  <c r="C11" i="47" s="1"/>
  <c r="B14" i="47"/>
  <c r="B15" i="47"/>
  <c r="B16" i="47"/>
  <c r="B18" i="47"/>
  <c r="B19" i="47"/>
  <c r="B21" i="47"/>
  <c r="B23" i="47"/>
  <c r="B24" i="47"/>
  <c r="B26" i="47"/>
  <c r="C26" i="47" s="1"/>
  <c r="B7" i="47"/>
  <c r="N174" i="64"/>
  <c r="A174" i="64"/>
  <c r="N168" i="64"/>
  <c r="A168" i="64"/>
  <c r="M162" i="64"/>
  <c r="L162" i="64"/>
  <c r="K162" i="64"/>
  <c r="J162" i="64"/>
  <c r="I162" i="64"/>
  <c r="H162" i="64"/>
  <c r="G162" i="64"/>
  <c r="F162" i="64"/>
  <c r="E162" i="64"/>
  <c r="D162" i="64"/>
  <c r="C162" i="64"/>
  <c r="B162" i="64"/>
  <c r="N162" i="64" s="1"/>
  <c r="A160" i="64"/>
  <c r="A159" i="64"/>
  <c r="A158" i="64"/>
  <c r="M151" i="64"/>
  <c r="L151" i="64"/>
  <c r="K151" i="64"/>
  <c r="J151" i="64"/>
  <c r="I151" i="64"/>
  <c r="H151" i="64"/>
  <c r="G151" i="64"/>
  <c r="F151" i="64"/>
  <c r="E151" i="64"/>
  <c r="D151" i="64"/>
  <c r="C151" i="64"/>
  <c r="B151" i="64"/>
  <c r="N151" i="64" s="1"/>
  <c r="N149" i="64"/>
  <c r="A149" i="64"/>
  <c r="A151" i="64" s="1"/>
  <c r="A142" i="64"/>
  <c r="M138" i="64"/>
  <c r="M140" i="64" s="1"/>
  <c r="M142" i="64" s="1"/>
  <c r="L138" i="64"/>
  <c r="L140" i="64" s="1"/>
  <c r="L142" i="64" s="1"/>
  <c r="K138" i="64"/>
  <c r="K140" i="64" s="1"/>
  <c r="K142" i="64" s="1"/>
  <c r="J138" i="64"/>
  <c r="J140" i="64" s="1"/>
  <c r="J142" i="64" s="1"/>
  <c r="I138" i="64"/>
  <c r="I140" i="64" s="1"/>
  <c r="I142" i="64" s="1"/>
  <c r="H138" i="64"/>
  <c r="H140" i="64" s="1"/>
  <c r="H142" i="64" s="1"/>
  <c r="G138" i="64"/>
  <c r="G140" i="64" s="1"/>
  <c r="G142" i="64" s="1"/>
  <c r="F138" i="64"/>
  <c r="F140" i="64" s="1"/>
  <c r="F142" i="64" s="1"/>
  <c r="E138" i="64"/>
  <c r="E140" i="64" s="1"/>
  <c r="E142" i="64" s="1"/>
  <c r="D138" i="64"/>
  <c r="D140" i="64" s="1"/>
  <c r="D142" i="64" s="1"/>
  <c r="C138" i="64"/>
  <c r="C140" i="64" s="1"/>
  <c r="C142" i="64" s="1"/>
  <c r="B138" i="64"/>
  <c r="A132" i="64"/>
  <c r="M128" i="64"/>
  <c r="M130" i="64" s="1"/>
  <c r="M132" i="64" s="1"/>
  <c r="L128" i="64"/>
  <c r="L130" i="64" s="1"/>
  <c r="L132" i="64" s="1"/>
  <c r="K128" i="64"/>
  <c r="K130" i="64" s="1"/>
  <c r="K132" i="64" s="1"/>
  <c r="J128" i="64"/>
  <c r="J130" i="64" s="1"/>
  <c r="J132" i="64" s="1"/>
  <c r="I128" i="64"/>
  <c r="I130" i="64" s="1"/>
  <c r="I132" i="64" s="1"/>
  <c r="H128" i="64"/>
  <c r="H130" i="64" s="1"/>
  <c r="H132" i="64" s="1"/>
  <c r="G128" i="64"/>
  <c r="G130" i="64" s="1"/>
  <c r="G132" i="64" s="1"/>
  <c r="F128" i="64"/>
  <c r="F130" i="64" s="1"/>
  <c r="F132" i="64" s="1"/>
  <c r="E128" i="64"/>
  <c r="E130" i="64" s="1"/>
  <c r="E132" i="64" s="1"/>
  <c r="D128" i="64"/>
  <c r="D130" i="64" s="1"/>
  <c r="D132" i="64" s="1"/>
  <c r="C128" i="64"/>
  <c r="C130" i="64" s="1"/>
  <c r="C132" i="64" s="1"/>
  <c r="B128" i="64"/>
  <c r="B130" i="64" s="1"/>
  <c r="A122" i="64"/>
  <c r="M118" i="64"/>
  <c r="M120" i="64" s="1"/>
  <c r="M122" i="64" s="1"/>
  <c r="L118" i="64"/>
  <c r="L120" i="64" s="1"/>
  <c r="L122" i="64" s="1"/>
  <c r="K118" i="64"/>
  <c r="K120" i="64" s="1"/>
  <c r="K122" i="64" s="1"/>
  <c r="J118" i="64"/>
  <c r="J120" i="64" s="1"/>
  <c r="J122" i="64" s="1"/>
  <c r="I118" i="64"/>
  <c r="I120" i="64" s="1"/>
  <c r="I122" i="64" s="1"/>
  <c r="H118" i="64"/>
  <c r="H120" i="64" s="1"/>
  <c r="H122" i="64" s="1"/>
  <c r="G118" i="64"/>
  <c r="G120" i="64" s="1"/>
  <c r="G122" i="64" s="1"/>
  <c r="F118" i="64"/>
  <c r="F120" i="64" s="1"/>
  <c r="F122" i="64" s="1"/>
  <c r="E118" i="64"/>
  <c r="E120" i="64" s="1"/>
  <c r="E122" i="64" s="1"/>
  <c r="D118" i="64"/>
  <c r="D120" i="64" s="1"/>
  <c r="D122" i="64" s="1"/>
  <c r="C118" i="64"/>
  <c r="B118" i="64"/>
  <c r="B120" i="64" s="1"/>
  <c r="A108" i="64"/>
  <c r="A110" i="64" s="1"/>
  <c r="A106" i="64"/>
  <c r="A97" i="64"/>
  <c r="M93" i="64"/>
  <c r="M95" i="64" s="1"/>
  <c r="M97" i="64" s="1"/>
  <c r="L93" i="64"/>
  <c r="L95" i="64" s="1"/>
  <c r="L97" i="64" s="1"/>
  <c r="K93" i="64"/>
  <c r="K95" i="64" s="1"/>
  <c r="K97" i="64" s="1"/>
  <c r="J93" i="64"/>
  <c r="J95" i="64" s="1"/>
  <c r="J97" i="64" s="1"/>
  <c r="I93" i="64"/>
  <c r="I95" i="64" s="1"/>
  <c r="I97" i="64" s="1"/>
  <c r="H93" i="64"/>
  <c r="H95" i="64" s="1"/>
  <c r="H97" i="64" s="1"/>
  <c r="G93" i="64"/>
  <c r="G95" i="64" s="1"/>
  <c r="G97" i="64" s="1"/>
  <c r="F93" i="64"/>
  <c r="F95" i="64" s="1"/>
  <c r="F97" i="64" s="1"/>
  <c r="E93" i="64"/>
  <c r="E95" i="64" s="1"/>
  <c r="E97" i="64" s="1"/>
  <c r="D93" i="64"/>
  <c r="D95" i="64" s="1"/>
  <c r="D97" i="64" s="1"/>
  <c r="C93" i="64"/>
  <c r="C95" i="64" s="1"/>
  <c r="C97" i="64" s="1"/>
  <c r="B93" i="64"/>
  <c r="A85" i="64"/>
  <c r="M81" i="64"/>
  <c r="M83" i="64" s="1"/>
  <c r="L81" i="64"/>
  <c r="L83" i="64" s="1"/>
  <c r="K81" i="64"/>
  <c r="K83" i="64" s="1"/>
  <c r="J81" i="64"/>
  <c r="J83" i="64" s="1"/>
  <c r="J85" i="64" s="1"/>
  <c r="K25" i="33" s="1"/>
  <c r="I81" i="64"/>
  <c r="I83" i="64" s="1"/>
  <c r="H81" i="64"/>
  <c r="H83" i="64" s="1"/>
  <c r="G81" i="64"/>
  <c r="G83" i="64" s="1"/>
  <c r="F81" i="64"/>
  <c r="F83" i="64" s="1"/>
  <c r="E81" i="64"/>
  <c r="E83" i="64" s="1"/>
  <c r="D81" i="64"/>
  <c r="D83" i="64" s="1"/>
  <c r="C81" i="64"/>
  <c r="C83" i="64" s="1"/>
  <c r="B81" i="64"/>
  <c r="A73" i="64"/>
  <c r="M69" i="64"/>
  <c r="M71" i="64" s="1"/>
  <c r="M73" i="64" s="1"/>
  <c r="M75" i="64" s="1"/>
  <c r="M76" i="64" s="1"/>
  <c r="L69" i="64"/>
  <c r="L71" i="64" s="1"/>
  <c r="L73" i="64" s="1"/>
  <c r="L75" i="64" s="1"/>
  <c r="L76" i="64" s="1"/>
  <c r="K69" i="64"/>
  <c r="K71" i="64" s="1"/>
  <c r="K73" i="64" s="1"/>
  <c r="K75" i="64" s="1"/>
  <c r="K76" i="64" s="1"/>
  <c r="J69" i="64"/>
  <c r="J71" i="64" s="1"/>
  <c r="J73" i="64" s="1"/>
  <c r="J75" i="64" s="1"/>
  <c r="J76" i="64" s="1"/>
  <c r="I69" i="64"/>
  <c r="I71" i="64" s="1"/>
  <c r="I73" i="64" s="1"/>
  <c r="I75" i="64" s="1"/>
  <c r="I76" i="64" s="1"/>
  <c r="H69" i="64"/>
  <c r="H71" i="64" s="1"/>
  <c r="H73" i="64" s="1"/>
  <c r="H75" i="64" s="1"/>
  <c r="H76" i="64" s="1"/>
  <c r="G69" i="64"/>
  <c r="G71" i="64" s="1"/>
  <c r="G73" i="64" s="1"/>
  <c r="G75" i="64" s="1"/>
  <c r="G76" i="64" s="1"/>
  <c r="F69" i="64"/>
  <c r="F71" i="64" s="1"/>
  <c r="F73" i="64" s="1"/>
  <c r="F75" i="64" s="1"/>
  <c r="F76" i="64" s="1"/>
  <c r="E69" i="64"/>
  <c r="E71" i="64" s="1"/>
  <c r="E73" i="64" s="1"/>
  <c r="E75" i="64" s="1"/>
  <c r="E76" i="64" s="1"/>
  <c r="D69" i="64"/>
  <c r="D71" i="64" s="1"/>
  <c r="D73" i="64" s="1"/>
  <c r="D75" i="64" s="1"/>
  <c r="D76" i="64" s="1"/>
  <c r="C69" i="64"/>
  <c r="C71" i="64" s="1"/>
  <c r="C73" i="64" s="1"/>
  <c r="C75" i="64" s="1"/>
  <c r="C76" i="64" s="1"/>
  <c r="B69" i="64"/>
  <c r="A69" i="64" s="1"/>
  <c r="A61" i="64"/>
  <c r="M57" i="64"/>
  <c r="M59" i="64" s="1"/>
  <c r="M61" i="64" s="1"/>
  <c r="L57" i="64"/>
  <c r="L59" i="64" s="1"/>
  <c r="L61" i="64" s="1"/>
  <c r="K57" i="64"/>
  <c r="K59" i="64" s="1"/>
  <c r="K61" i="64" s="1"/>
  <c r="J57" i="64"/>
  <c r="J59" i="64" s="1"/>
  <c r="J61" i="64" s="1"/>
  <c r="I57" i="64"/>
  <c r="I59" i="64" s="1"/>
  <c r="I61" i="64" s="1"/>
  <c r="H57" i="64"/>
  <c r="H59" i="64" s="1"/>
  <c r="H61" i="64" s="1"/>
  <c r="G57" i="64"/>
  <c r="G59" i="64" s="1"/>
  <c r="G61" i="64" s="1"/>
  <c r="F57" i="64"/>
  <c r="F59" i="64" s="1"/>
  <c r="F61" i="64" s="1"/>
  <c r="E57" i="64"/>
  <c r="E59" i="64" s="1"/>
  <c r="E61" i="64" s="1"/>
  <c r="D57" i="64"/>
  <c r="D59" i="64" s="1"/>
  <c r="D61" i="64" s="1"/>
  <c r="C57" i="64"/>
  <c r="C59" i="64" s="1"/>
  <c r="C61" i="64" s="1"/>
  <c r="B57" i="64"/>
  <c r="A49" i="64"/>
  <c r="M45" i="64"/>
  <c r="M47" i="64" s="1"/>
  <c r="M49" i="64" s="1"/>
  <c r="N30" i="41" s="1"/>
  <c r="N32" i="41" s="1"/>
  <c r="L45" i="64"/>
  <c r="L47" i="64" s="1"/>
  <c r="L49" i="64" s="1"/>
  <c r="M30" i="41" s="1"/>
  <c r="M32" i="41" s="1"/>
  <c r="K45" i="64"/>
  <c r="K47" i="64" s="1"/>
  <c r="K49" i="64" s="1"/>
  <c r="L30" i="41" s="1"/>
  <c r="L32" i="41" s="1"/>
  <c r="J45" i="64"/>
  <c r="J47" i="64" s="1"/>
  <c r="J49" i="64" s="1"/>
  <c r="K30" i="41" s="1"/>
  <c r="K32" i="41" s="1"/>
  <c r="I45" i="64"/>
  <c r="I47" i="64" s="1"/>
  <c r="I49" i="64" s="1"/>
  <c r="J30" i="41" s="1"/>
  <c r="J32" i="41" s="1"/>
  <c r="H45" i="64"/>
  <c r="H47" i="64" s="1"/>
  <c r="H49" i="64" s="1"/>
  <c r="I30" i="41" s="1"/>
  <c r="I32" i="41" s="1"/>
  <c r="G45" i="64"/>
  <c r="G47" i="64" s="1"/>
  <c r="G49" i="64" s="1"/>
  <c r="H30" i="41" s="1"/>
  <c r="H32" i="41" s="1"/>
  <c r="F45" i="64"/>
  <c r="F47" i="64" s="1"/>
  <c r="F49" i="64" s="1"/>
  <c r="G30" i="41" s="1"/>
  <c r="G32" i="41" s="1"/>
  <c r="E45" i="64"/>
  <c r="E47" i="64" s="1"/>
  <c r="E49" i="64" s="1"/>
  <c r="F30" i="41" s="1"/>
  <c r="F32" i="41" s="1"/>
  <c r="D45" i="64"/>
  <c r="D47" i="64" s="1"/>
  <c r="D49" i="64" s="1"/>
  <c r="E30" i="41" s="1"/>
  <c r="E32" i="41" s="1"/>
  <c r="C45" i="64"/>
  <c r="C47" i="64" s="1"/>
  <c r="B45" i="64"/>
  <c r="B47" i="64" s="1"/>
  <c r="A38" i="64"/>
  <c r="M34" i="64"/>
  <c r="M36" i="64" s="1"/>
  <c r="M38" i="64" s="1"/>
  <c r="M40" i="64" s="1"/>
  <c r="L34" i="64"/>
  <c r="L36" i="64" s="1"/>
  <c r="L38" i="64" s="1"/>
  <c r="L40" i="64" s="1"/>
  <c r="K34" i="64"/>
  <c r="K36" i="64" s="1"/>
  <c r="K38" i="64" s="1"/>
  <c r="K40" i="64" s="1"/>
  <c r="J34" i="64"/>
  <c r="J36" i="64" s="1"/>
  <c r="J38" i="64" s="1"/>
  <c r="J40" i="64" s="1"/>
  <c r="I34" i="64"/>
  <c r="I36" i="64" s="1"/>
  <c r="I38" i="64" s="1"/>
  <c r="I40" i="64" s="1"/>
  <c r="H34" i="64"/>
  <c r="H36" i="64" s="1"/>
  <c r="H38" i="64" s="1"/>
  <c r="H40" i="64" s="1"/>
  <c r="G34" i="64"/>
  <c r="G36" i="64" s="1"/>
  <c r="G38" i="64" s="1"/>
  <c r="G40" i="64" s="1"/>
  <c r="F34" i="64"/>
  <c r="F36" i="64" s="1"/>
  <c r="F38" i="64" s="1"/>
  <c r="F40" i="64" s="1"/>
  <c r="E34" i="64"/>
  <c r="E36" i="64" s="1"/>
  <c r="E38" i="64" s="1"/>
  <c r="E40" i="64" s="1"/>
  <c r="D34" i="64"/>
  <c r="D36" i="64" s="1"/>
  <c r="D38" i="64" s="1"/>
  <c r="D40" i="64" s="1"/>
  <c r="C34" i="64"/>
  <c r="C36" i="64" s="1"/>
  <c r="C38" i="64" s="1"/>
  <c r="C40" i="64" s="1"/>
  <c r="B34" i="64"/>
  <c r="M20" i="64"/>
  <c r="M22" i="64" s="1"/>
  <c r="L20" i="64"/>
  <c r="L22" i="64" s="1"/>
  <c r="K20" i="64"/>
  <c r="K22" i="64" s="1"/>
  <c r="J20" i="64"/>
  <c r="J22" i="64" s="1"/>
  <c r="I20" i="64"/>
  <c r="I22" i="64" s="1"/>
  <c r="H20" i="64"/>
  <c r="H22" i="64" s="1"/>
  <c r="G20" i="64"/>
  <c r="G22" i="64" s="1"/>
  <c r="F20" i="64"/>
  <c r="F22" i="64" s="1"/>
  <c r="E20" i="64"/>
  <c r="E22" i="64" s="1"/>
  <c r="D20" i="64"/>
  <c r="D22" i="64" s="1"/>
  <c r="C20" i="64"/>
  <c r="C22" i="64" s="1"/>
  <c r="B20" i="64"/>
  <c r="B22" i="64" s="1"/>
  <c r="A13" i="64"/>
  <c r="M7" i="64"/>
  <c r="M10" i="64" s="1"/>
  <c r="L7" i="64"/>
  <c r="L10" i="64" s="1"/>
  <c r="K7" i="64"/>
  <c r="K10" i="64" s="1"/>
  <c r="J7" i="64"/>
  <c r="J10" i="64" s="1"/>
  <c r="I7" i="64"/>
  <c r="I10" i="64" s="1"/>
  <c r="H7" i="64"/>
  <c r="H10" i="64" s="1"/>
  <c r="G7" i="64"/>
  <c r="G10" i="64" s="1"/>
  <c r="G13" i="64" s="1"/>
  <c r="F7" i="64"/>
  <c r="F10" i="64" s="1"/>
  <c r="E7" i="64"/>
  <c r="E10" i="64" s="1"/>
  <c r="D7" i="64"/>
  <c r="D10" i="64" s="1"/>
  <c r="C7" i="64"/>
  <c r="C10" i="64" s="1"/>
  <c r="B7" i="64"/>
  <c r="B10" i="64" s="1"/>
  <c r="J30" i="47" l="1"/>
  <c r="J32" i="47" s="1"/>
  <c r="J29" i="48"/>
  <c r="E41" i="64"/>
  <c r="F32" i="44"/>
  <c r="C63" i="64"/>
  <c r="C64" i="64" s="1"/>
  <c r="D31" i="39"/>
  <c r="D33" i="39" s="1"/>
  <c r="E29" i="48"/>
  <c r="E30" i="47"/>
  <c r="E32" i="47" s="1"/>
  <c r="H24" i="64"/>
  <c r="H26" i="64" s="1"/>
  <c r="I29" i="48"/>
  <c r="I30" i="47"/>
  <c r="I32" i="47" s="1"/>
  <c r="L24" i="64"/>
  <c r="L26" i="64" s="1"/>
  <c r="M29" i="48"/>
  <c r="M30" i="47"/>
  <c r="M32" i="47" s="1"/>
  <c r="D41" i="64"/>
  <c r="E32" i="44"/>
  <c r="H41" i="64"/>
  <c r="I32" i="44"/>
  <c r="L41" i="64"/>
  <c r="M32" i="44"/>
  <c r="F63" i="64"/>
  <c r="F64" i="64" s="1"/>
  <c r="G31" i="39"/>
  <c r="G33" i="39" s="1"/>
  <c r="J63" i="64"/>
  <c r="J64" i="64" s="1"/>
  <c r="K31" i="39"/>
  <c r="K33" i="39" s="1"/>
  <c r="F30" i="47"/>
  <c r="F32" i="47" s="1"/>
  <c r="F29" i="48"/>
  <c r="I41" i="64"/>
  <c r="J32" i="44"/>
  <c r="K63" i="64"/>
  <c r="K64" i="64" s="1"/>
  <c r="L31" i="39"/>
  <c r="L33" i="39" s="1"/>
  <c r="G15" i="64"/>
  <c r="G16" i="64" s="1"/>
  <c r="H30" i="51"/>
  <c r="G29" i="48"/>
  <c r="G30" i="47"/>
  <c r="G32" i="47" s="1"/>
  <c r="K29" i="48"/>
  <c r="K30" i="47"/>
  <c r="K32" i="47" s="1"/>
  <c r="F41" i="64"/>
  <c r="G32" i="44"/>
  <c r="J41" i="64"/>
  <c r="K32" i="44"/>
  <c r="D63" i="64"/>
  <c r="D64" i="64" s="1"/>
  <c r="E31" i="39"/>
  <c r="E33" i="39" s="1"/>
  <c r="H63" i="64"/>
  <c r="H64" i="64" s="1"/>
  <c r="I31" i="39"/>
  <c r="I33" i="39" s="1"/>
  <c r="L63" i="64"/>
  <c r="L64" i="64" s="1"/>
  <c r="M31" i="39"/>
  <c r="M33" i="39" s="1"/>
  <c r="N30" i="47"/>
  <c r="N32" i="47" s="1"/>
  <c r="N29" i="48"/>
  <c r="M41" i="64"/>
  <c r="N32" i="44"/>
  <c r="G63" i="64"/>
  <c r="G64" i="64" s="1"/>
  <c r="H31" i="39"/>
  <c r="H33" i="39" s="1"/>
  <c r="C24" i="64"/>
  <c r="C26" i="64" s="1"/>
  <c r="D29" i="48"/>
  <c r="D30" i="47"/>
  <c r="D32" i="47" s="1"/>
  <c r="G24" i="64"/>
  <c r="G26" i="64" s="1"/>
  <c r="H29" i="48"/>
  <c r="H30" i="47"/>
  <c r="H32" i="47" s="1"/>
  <c r="K24" i="64"/>
  <c r="K26" i="64" s="1"/>
  <c r="L29" i="48"/>
  <c r="L30" i="47"/>
  <c r="L32" i="47" s="1"/>
  <c r="C41" i="64"/>
  <c r="D32" i="44"/>
  <c r="G41" i="64"/>
  <c r="H32" i="44"/>
  <c r="K41" i="64"/>
  <c r="L32" i="44"/>
  <c r="E63" i="64"/>
  <c r="E64" i="64" s="1"/>
  <c r="F31" i="39"/>
  <c r="F33" i="39" s="1"/>
  <c r="I63" i="64"/>
  <c r="I64" i="64" s="1"/>
  <c r="J31" i="39"/>
  <c r="J33" i="39" s="1"/>
  <c r="M63" i="64"/>
  <c r="M64" i="64" s="1"/>
  <c r="N31" i="39"/>
  <c r="N33" i="39" s="1"/>
  <c r="E99" i="64"/>
  <c r="E100" i="64" s="1"/>
  <c r="F25" i="62"/>
  <c r="D51" i="64"/>
  <c r="D52" i="64" s="1"/>
  <c r="H51" i="64"/>
  <c r="H52" i="64" s="1"/>
  <c r="L51" i="64"/>
  <c r="L52" i="64" s="1"/>
  <c r="D99" i="64"/>
  <c r="D100" i="64" s="1"/>
  <c r="E25" i="62"/>
  <c r="H99" i="64"/>
  <c r="H100" i="64" s="1"/>
  <c r="I25" i="62"/>
  <c r="L99" i="64"/>
  <c r="L100" i="64" s="1"/>
  <c r="M25" i="62"/>
  <c r="E51" i="64"/>
  <c r="E52" i="64" s="1"/>
  <c r="I51" i="64"/>
  <c r="I52" i="64" s="1"/>
  <c r="M51" i="64"/>
  <c r="M52" i="64" s="1"/>
  <c r="I99" i="64"/>
  <c r="I100" i="64" s="1"/>
  <c r="J25" i="62"/>
  <c r="M99" i="64"/>
  <c r="M100" i="64" s="1"/>
  <c r="N25" i="62"/>
  <c r="F51" i="64"/>
  <c r="F52" i="64" s="1"/>
  <c r="J51" i="64"/>
  <c r="J52" i="64" s="1"/>
  <c r="F99" i="64"/>
  <c r="F100" i="64" s="1"/>
  <c r="G25" i="62"/>
  <c r="J99" i="64"/>
  <c r="J100" i="64" s="1"/>
  <c r="K25" i="62"/>
  <c r="C51" i="64"/>
  <c r="C52" i="64" s="1"/>
  <c r="C49" i="64"/>
  <c r="D30" i="41" s="1"/>
  <c r="D32" i="41" s="1"/>
  <c r="G51" i="64"/>
  <c r="G52" i="64" s="1"/>
  <c r="K51" i="64"/>
  <c r="K52" i="64" s="1"/>
  <c r="C99" i="64"/>
  <c r="C100" i="64" s="1"/>
  <c r="D25" i="62"/>
  <c r="G99" i="64"/>
  <c r="G100" i="64" s="1"/>
  <c r="H25" i="62"/>
  <c r="K99" i="64"/>
  <c r="K100" i="64" s="1"/>
  <c r="L25" i="62"/>
  <c r="H108" i="64"/>
  <c r="D24" i="64"/>
  <c r="D26" i="64" s="1"/>
  <c r="A20" i="64"/>
  <c r="L182" i="64"/>
  <c r="H85" i="64"/>
  <c r="A138" i="64"/>
  <c r="A7" i="64"/>
  <c r="E24" i="64"/>
  <c r="E26" i="64" s="1"/>
  <c r="I24" i="64"/>
  <c r="I26" i="64" s="1"/>
  <c r="M24" i="64"/>
  <c r="M26" i="64" s="1"/>
  <c r="A81" i="64"/>
  <c r="A128" i="64"/>
  <c r="F182" i="64"/>
  <c r="C30" i="47"/>
  <c r="C29" i="48"/>
  <c r="F24" i="64"/>
  <c r="J24" i="64"/>
  <c r="A57" i="64"/>
  <c r="C120" i="64"/>
  <c r="C122" i="64" s="1"/>
  <c r="A118" i="64"/>
  <c r="A34" i="64"/>
  <c r="E182" i="64"/>
  <c r="E13" i="64"/>
  <c r="F30" i="51" s="1"/>
  <c r="I182" i="64"/>
  <c r="I13" i="64"/>
  <c r="J30" i="51" s="1"/>
  <c r="M182" i="64"/>
  <c r="M13" i="64"/>
  <c r="N30" i="51" s="1"/>
  <c r="N10" i="64"/>
  <c r="B13" i="64"/>
  <c r="C30" i="51" s="1"/>
  <c r="J182" i="64"/>
  <c r="J13" i="64"/>
  <c r="K30" i="51" s="1"/>
  <c r="C25" i="64"/>
  <c r="C27" i="64" s="1"/>
  <c r="G25" i="64"/>
  <c r="G27" i="64" s="1"/>
  <c r="K25" i="64"/>
  <c r="K27" i="64" s="1"/>
  <c r="H25" i="64"/>
  <c r="H27" i="64" s="1"/>
  <c r="L25" i="64"/>
  <c r="L27" i="64" s="1"/>
  <c r="B24" i="64"/>
  <c r="N22" i="64"/>
  <c r="L13" i="64"/>
  <c r="M30" i="51" s="1"/>
  <c r="D25" i="64"/>
  <c r="D27" i="64" s="1"/>
  <c r="G182" i="64"/>
  <c r="K182" i="64"/>
  <c r="D182" i="64"/>
  <c r="D13" i="64"/>
  <c r="E30" i="51" s="1"/>
  <c r="B36" i="64"/>
  <c r="A45" i="64"/>
  <c r="B59" i="64"/>
  <c r="F13" i="64"/>
  <c r="G30" i="51" s="1"/>
  <c r="K13" i="64"/>
  <c r="L30" i="51" s="1"/>
  <c r="B49" i="64"/>
  <c r="C30" i="41" s="1"/>
  <c r="N47" i="64"/>
  <c r="B132" i="64"/>
  <c r="N132" i="64" s="1"/>
  <c r="N130" i="64"/>
  <c r="H182" i="64"/>
  <c r="C13" i="64"/>
  <c r="D30" i="51" s="1"/>
  <c r="H13" i="64"/>
  <c r="I30" i="51" s="1"/>
  <c r="E85" i="64"/>
  <c r="F25" i="33" s="1"/>
  <c r="E108" i="64"/>
  <c r="I108" i="64"/>
  <c r="I85" i="64"/>
  <c r="J25" i="33" s="1"/>
  <c r="M85" i="64"/>
  <c r="N25" i="33" s="1"/>
  <c r="M108" i="64"/>
  <c r="J108" i="64"/>
  <c r="B122" i="64"/>
  <c r="N122" i="64" s="1"/>
  <c r="N120" i="64"/>
  <c r="B71" i="64"/>
  <c r="C85" i="64"/>
  <c r="D25" i="33" s="1"/>
  <c r="C108" i="64"/>
  <c r="K85" i="64"/>
  <c r="L25" i="33" s="1"/>
  <c r="K108" i="64"/>
  <c r="G85" i="64"/>
  <c r="H25" i="33" s="1"/>
  <c r="G108" i="64"/>
  <c r="B140" i="64"/>
  <c r="D108" i="64"/>
  <c r="D85" i="64"/>
  <c r="E25" i="33" s="1"/>
  <c r="L108" i="64"/>
  <c r="L85" i="64"/>
  <c r="M25" i="33" s="1"/>
  <c r="J110" i="64"/>
  <c r="J87" i="64"/>
  <c r="J88" i="64" s="1"/>
  <c r="F85" i="64"/>
  <c r="G25" i="33" s="1"/>
  <c r="F108" i="64"/>
  <c r="A93" i="64"/>
  <c r="B95" i="64"/>
  <c r="B83" i="64"/>
  <c r="A162" i="64"/>
  <c r="J25" i="64" l="1"/>
  <c r="J26" i="64"/>
  <c r="H87" i="64"/>
  <c r="H88" i="64" s="1"/>
  <c r="I25" i="33"/>
  <c r="K33" i="47"/>
  <c r="K34" i="47"/>
  <c r="E34" i="47"/>
  <c r="E33" i="47"/>
  <c r="F25" i="64"/>
  <c r="F26" i="64"/>
  <c r="D33" i="47"/>
  <c r="D34" i="47"/>
  <c r="N33" i="47"/>
  <c r="N34" i="47"/>
  <c r="I33" i="47"/>
  <c r="I34" i="47"/>
  <c r="H33" i="47"/>
  <c r="H34" i="47"/>
  <c r="G34" i="47"/>
  <c r="G33" i="47"/>
  <c r="M34" i="47"/>
  <c r="M33" i="47"/>
  <c r="L33" i="47"/>
  <c r="L34" i="47"/>
  <c r="F33" i="47"/>
  <c r="F34" i="47"/>
  <c r="J33" i="47"/>
  <c r="J34" i="47"/>
  <c r="C32" i="41"/>
  <c r="O30" i="41"/>
  <c r="O32" i="41" s="1"/>
  <c r="I25" i="64"/>
  <c r="I27" i="64" s="1"/>
  <c r="J112" i="64"/>
  <c r="J113" i="64" s="1"/>
  <c r="C182" i="64"/>
  <c r="M25" i="64"/>
  <c r="M27" i="64" s="1"/>
  <c r="H110" i="64"/>
  <c r="O30" i="47"/>
  <c r="C32" i="47"/>
  <c r="E25" i="64"/>
  <c r="E27" i="64" s="1"/>
  <c r="B85" i="64"/>
  <c r="C25" i="33" s="1"/>
  <c r="N83" i="64"/>
  <c r="B108" i="64"/>
  <c r="N108" i="64" s="1"/>
  <c r="F110" i="64"/>
  <c r="F87" i="64"/>
  <c r="F88" i="64" s="1"/>
  <c r="I110" i="64"/>
  <c r="I87" i="64"/>
  <c r="I88" i="64" s="1"/>
  <c r="H187" i="64"/>
  <c r="H15" i="64"/>
  <c r="H16" i="64" s="1"/>
  <c r="K187" i="64"/>
  <c r="K15" i="64"/>
  <c r="K16" i="64" s="1"/>
  <c r="B38" i="64"/>
  <c r="N36" i="64"/>
  <c r="L187" i="64"/>
  <c r="L15" i="64"/>
  <c r="L16" i="64" s="1"/>
  <c r="J187" i="64"/>
  <c r="J15" i="64"/>
  <c r="J16" i="64" s="1"/>
  <c r="B182" i="64"/>
  <c r="D110" i="64"/>
  <c r="D87" i="64"/>
  <c r="D88" i="64" s="1"/>
  <c r="G87" i="64"/>
  <c r="G88" i="64" s="1"/>
  <c r="G110" i="64"/>
  <c r="C110" i="64"/>
  <c r="C87" i="64"/>
  <c r="C88" i="64" s="1"/>
  <c r="C187" i="64"/>
  <c r="C15" i="64"/>
  <c r="C16" i="64" s="1"/>
  <c r="G187" i="64"/>
  <c r="F187" i="64"/>
  <c r="F15" i="64"/>
  <c r="F16" i="64" s="1"/>
  <c r="D187" i="64"/>
  <c r="D15" i="64"/>
  <c r="D16" i="64" s="1"/>
  <c r="I187" i="64"/>
  <c r="I15" i="64"/>
  <c r="I16" i="64" s="1"/>
  <c r="B73" i="64"/>
  <c r="N71" i="64"/>
  <c r="B61" i="64"/>
  <c r="C31" i="39" s="1"/>
  <c r="C33" i="39" s="1"/>
  <c r="N59" i="64"/>
  <c r="N13" i="64"/>
  <c r="B15" i="64"/>
  <c r="B16" i="64" s="1"/>
  <c r="B97" i="64"/>
  <c r="C25" i="62" s="1"/>
  <c r="N95" i="64"/>
  <c r="L87" i="64"/>
  <c r="L88" i="64" s="1"/>
  <c r="L110" i="64"/>
  <c r="N140" i="64"/>
  <c r="B142" i="64"/>
  <c r="N142" i="64" s="1"/>
  <c r="K110" i="64"/>
  <c r="K87" i="64"/>
  <c r="K88" i="64" s="1"/>
  <c r="M110" i="64"/>
  <c r="M87" i="64"/>
  <c r="M88" i="64" s="1"/>
  <c r="E110" i="64"/>
  <c r="E87" i="64"/>
  <c r="E88" i="64" s="1"/>
  <c r="N49" i="64"/>
  <c r="B51" i="64"/>
  <c r="B52" i="64" s="1"/>
  <c r="B26" i="64"/>
  <c r="B25" i="64"/>
  <c r="M187" i="64"/>
  <c r="M15" i="64"/>
  <c r="M16" i="64" s="1"/>
  <c r="E187" i="64"/>
  <c r="E15" i="64"/>
  <c r="E16" i="64" s="1"/>
  <c r="A182" i="64" l="1"/>
  <c r="J27" i="64"/>
  <c r="F27" i="64"/>
  <c r="M112" i="64"/>
  <c r="M113" i="64" s="1"/>
  <c r="F112" i="64"/>
  <c r="F113" i="64" s="1"/>
  <c r="G112" i="64"/>
  <c r="G113" i="64" s="1"/>
  <c r="I112" i="64"/>
  <c r="I113" i="64" s="1"/>
  <c r="L112" i="64"/>
  <c r="L113" i="64" s="1"/>
  <c r="E112" i="64"/>
  <c r="E113" i="64" s="1"/>
  <c r="K112" i="64"/>
  <c r="K113" i="64" s="1"/>
  <c r="C112" i="64"/>
  <c r="C113" i="64" s="1"/>
  <c r="D112" i="64"/>
  <c r="D113" i="64" s="1"/>
  <c r="H112" i="64"/>
  <c r="H113" i="64" s="1"/>
  <c r="N177" i="64"/>
  <c r="C34" i="47"/>
  <c r="C33" i="47"/>
  <c r="O33" i="47" s="1"/>
  <c r="O32" i="47"/>
  <c r="P140" i="64"/>
  <c r="B27" i="64"/>
  <c r="B75" i="64"/>
  <c r="B76" i="64" s="1"/>
  <c r="N73" i="64"/>
  <c r="N61" i="64"/>
  <c r="B63" i="64"/>
  <c r="B64" i="64" s="1"/>
  <c r="B110" i="64"/>
  <c r="B87" i="64"/>
  <c r="B88" i="64" s="1"/>
  <c r="N85" i="64"/>
  <c r="N38" i="64"/>
  <c r="B40" i="64"/>
  <c r="B187" i="64"/>
  <c r="A187" i="64" s="1"/>
  <c r="B99" i="64"/>
  <c r="B100" i="64" s="1"/>
  <c r="N97" i="64"/>
  <c r="B41" i="64" l="1"/>
  <c r="C32" i="44"/>
  <c r="O32" i="44" s="1"/>
  <c r="O34" i="47"/>
  <c r="C21" i="47"/>
  <c r="C14" i="47"/>
  <c r="C18" i="47"/>
  <c r="C15" i="47"/>
  <c r="C19" i="47"/>
  <c r="C23" i="47"/>
  <c r="C16" i="47"/>
  <c r="C24" i="47"/>
  <c r="N179" i="64"/>
  <c r="P142" i="64"/>
  <c r="P144" i="64" s="1"/>
  <c r="N110" i="64"/>
  <c r="B112" i="64"/>
  <c r="B113" i="64" s="1"/>
  <c r="O29" i="63" l="1"/>
  <c r="N23" i="63"/>
  <c r="M23" i="63"/>
  <c r="L23" i="63"/>
  <c r="K23" i="63"/>
  <c r="J23" i="63"/>
  <c r="I23" i="63"/>
  <c r="H23" i="63"/>
  <c r="G23" i="63"/>
  <c r="F23" i="63"/>
  <c r="E23" i="63"/>
  <c r="D23" i="63"/>
  <c r="C23" i="63"/>
  <c r="O23" i="63" s="1"/>
  <c r="N22" i="63"/>
  <c r="M22" i="63"/>
  <c r="L22" i="63"/>
  <c r="K22" i="63"/>
  <c r="J22" i="63"/>
  <c r="I22" i="63"/>
  <c r="H22" i="63"/>
  <c r="G22" i="63"/>
  <c r="F22" i="63"/>
  <c r="E22" i="63"/>
  <c r="D22" i="63"/>
  <c r="C22" i="63"/>
  <c r="O22" i="63" s="1"/>
  <c r="N21" i="63"/>
  <c r="M21" i="63"/>
  <c r="L21" i="63"/>
  <c r="K21" i="63"/>
  <c r="J21" i="63"/>
  <c r="I21" i="63"/>
  <c r="H21" i="63"/>
  <c r="G21" i="63"/>
  <c r="F21" i="63"/>
  <c r="E21" i="63"/>
  <c r="D21" i="63"/>
  <c r="C21" i="63"/>
  <c r="O21" i="63" s="1"/>
  <c r="N20" i="63"/>
  <c r="M20" i="63"/>
  <c r="L20" i="63"/>
  <c r="K20" i="63"/>
  <c r="J20" i="63"/>
  <c r="I20" i="63"/>
  <c r="H20" i="63"/>
  <c r="G20" i="63"/>
  <c r="F20" i="63"/>
  <c r="E20" i="63"/>
  <c r="D20" i="63"/>
  <c r="C20" i="63"/>
  <c r="O20" i="63" s="1"/>
  <c r="N19" i="63"/>
  <c r="M19" i="63"/>
  <c r="L19" i="63"/>
  <c r="K19" i="63"/>
  <c r="J19" i="63"/>
  <c r="I19" i="63"/>
  <c r="H19" i="63"/>
  <c r="G19" i="63"/>
  <c r="F19" i="63"/>
  <c r="E19" i="63"/>
  <c r="D19" i="63"/>
  <c r="C19" i="63"/>
  <c r="N18" i="63"/>
  <c r="M18" i="63"/>
  <c r="L18" i="63"/>
  <c r="K18" i="63"/>
  <c r="J18" i="63"/>
  <c r="I18" i="63"/>
  <c r="H18" i="63"/>
  <c r="G18" i="63"/>
  <c r="F18" i="63"/>
  <c r="E18" i="63"/>
  <c r="D18" i="63"/>
  <c r="C18" i="63"/>
  <c r="N17" i="63"/>
  <c r="M17" i="63"/>
  <c r="L17" i="63"/>
  <c r="K17" i="63"/>
  <c r="J17" i="63"/>
  <c r="I17" i="63"/>
  <c r="H17" i="63"/>
  <c r="G17" i="63"/>
  <c r="F17" i="63"/>
  <c r="E17" i="63"/>
  <c r="D17" i="63"/>
  <c r="C17" i="63"/>
  <c r="O17" i="63" s="1"/>
  <c r="N16" i="63"/>
  <c r="M16" i="63"/>
  <c r="L16" i="63"/>
  <c r="K16" i="63"/>
  <c r="J16" i="63"/>
  <c r="I16" i="63"/>
  <c r="H16" i="63"/>
  <c r="G16" i="63"/>
  <c r="F16" i="63"/>
  <c r="E16" i="63"/>
  <c r="D16" i="63"/>
  <c r="C16" i="63"/>
  <c r="O16" i="63" s="1"/>
  <c r="N15" i="63"/>
  <c r="M15" i="63"/>
  <c r="L15" i="63"/>
  <c r="K15" i="63"/>
  <c r="J15" i="63"/>
  <c r="I15" i="63"/>
  <c r="H15" i="63"/>
  <c r="G15" i="63"/>
  <c r="F15" i="63"/>
  <c r="E15" i="63"/>
  <c r="D15" i="63"/>
  <c r="C15" i="63"/>
  <c r="O15" i="63" s="1"/>
  <c r="N14" i="63"/>
  <c r="M14" i="63"/>
  <c r="L14" i="63"/>
  <c r="K14" i="63"/>
  <c r="J14" i="63"/>
  <c r="I14" i="63"/>
  <c r="H14" i="63"/>
  <c r="G14" i="63"/>
  <c r="F14" i="63"/>
  <c r="E14" i="63"/>
  <c r="D14" i="63"/>
  <c r="C14" i="63"/>
  <c r="O14" i="63" s="1"/>
  <c r="N13" i="63"/>
  <c r="M13" i="63"/>
  <c r="L13" i="63"/>
  <c r="K13" i="63"/>
  <c r="J13" i="63"/>
  <c r="I13" i="63"/>
  <c r="H13" i="63"/>
  <c r="G13" i="63"/>
  <c r="F13" i="63"/>
  <c r="E13" i="63"/>
  <c r="D13" i="63"/>
  <c r="C13" i="63"/>
  <c r="O13" i="63" s="1"/>
  <c r="N12" i="63"/>
  <c r="M12" i="63"/>
  <c r="L12" i="63"/>
  <c r="K12" i="63"/>
  <c r="J12" i="63"/>
  <c r="I12" i="63"/>
  <c r="H12" i="63"/>
  <c r="G12" i="63"/>
  <c r="F12" i="63"/>
  <c r="E12" i="63"/>
  <c r="D12" i="63"/>
  <c r="C12" i="63"/>
  <c r="O12" i="63" s="1"/>
  <c r="N11" i="63"/>
  <c r="M11" i="63"/>
  <c r="L11" i="63"/>
  <c r="K11" i="63"/>
  <c r="J11" i="63"/>
  <c r="I11" i="63"/>
  <c r="H11" i="63"/>
  <c r="G11" i="63"/>
  <c r="F11" i="63"/>
  <c r="E11" i="63"/>
  <c r="D11" i="63"/>
  <c r="C11" i="63"/>
  <c r="N10" i="63"/>
  <c r="M10" i="63"/>
  <c r="L10" i="63"/>
  <c r="K10" i="63"/>
  <c r="J10" i="63"/>
  <c r="I10" i="63"/>
  <c r="H10" i="63"/>
  <c r="G10" i="63"/>
  <c r="F10" i="63"/>
  <c r="E10" i="63"/>
  <c r="D10" i="63"/>
  <c r="C10" i="63"/>
  <c r="N9" i="63"/>
  <c r="M9" i="63"/>
  <c r="L9" i="63"/>
  <c r="K9" i="63"/>
  <c r="J9" i="63"/>
  <c r="I9" i="63"/>
  <c r="H9" i="63"/>
  <c r="G9" i="63"/>
  <c r="F9" i="63"/>
  <c r="E9" i="63"/>
  <c r="D9" i="63"/>
  <c r="C9" i="63"/>
  <c r="N8" i="63"/>
  <c r="M8" i="63"/>
  <c r="L8" i="63"/>
  <c r="K8" i="63"/>
  <c r="J8" i="63"/>
  <c r="I8" i="63"/>
  <c r="H8" i="63"/>
  <c r="G8" i="63"/>
  <c r="F8" i="63"/>
  <c r="E8" i="63"/>
  <c r="D8" i="63"/>
  <c r="C8" i="63"/>
  <c r="O8" i="63" s="1"/>
  <c r="N7" i="63"/>
  <c r="M7" i="63"/>
  <c r="L7" i="63"/>
  <c r="K7" i="63"/>
  <c r="J7" i="63"/>
  <c r="I7" i="63"/>
  <c r="H7" i="63"/>
  <c r="G7" i="63"/>
  <c r="F7" i="63"/>
  <c r="E7" i="63"/>
  <c r="D7" i="63"/>
  <c r="C7" i="63"/>
  <c r="O7" i="63" s="1"/>
  <c r="N6" i="63"/>
  <c r="M6" i="63"/>
  <c r="L6" i="63"/>
  <c r="K6" i="63"/>
  <c r="J6" i="63"/>
  <c r="I6" i="63"/>
  <c r="H6" i="63"/>
  <c r="G6" i="63"/>
  <c r="F6" i="63"/>
  <c r="E6" i="63"/>
  <c r="D6" i="63"/>
  <c r="C6" i="63"/>
  <c r="O6" i="63" s="1"/>
  <c r="N5" i="63"/>
  <c r="M5" i="63"/>
  <c r="L5" i="63"/>
  <c r="K5" i="63"/>
  <c r="J5" i="63"/>
  <c r="I5" i="63"/>
  <c r="H5" i="63"/>
  <c r="G5" i="63"/>
  <c r="F5" i="63"/>
  <c r="E5" i="63"/>
  <c r="D5" i="63"/>
  <c r="C5" i="63"/>
  <c r="O5" i="63" s="1"/>
  <c r="B4" i="63"/>
  <c r="G4" i="63" s="1"/>
  <c r="M23" i="61"/>
  <c r="L23" i="61"/>
  <c r="K23" i="61"/>
  <c r="J23" i="61"/>
  <c r="I23" i="61"/>
  <c r="H23" i="61"/>
  <c r="G23" i="61"/>
  <c r="F23" i="61"/>
  <c r="E23" i="61"/>
  <c r="D23" i="61"/>
  <c r="C23" i="61"/>
  <c r="B23" i="61"/>
  <c r="M22" i="61"/>
  <c r="L22" i="61"/>
  <c r="K22" i="61"/>
  <c r="J22" i="61"/>
  <c r="I22" i="61"/>
  <c r="H22" i="61"/>
  <c r="G22" i="61"/>
  <c r="F22" i="61"/>
  <c r="E22" i="61"/>
  <c r="D22" i="61"/>
  <c r="C22" i="61"/>
  <c r="B22" i="61"/>
  <c r="M21" i="61"/>
  <c r="L21" i="61"/>
  <c r="K21" i="61"/>
  <c r="J21" i="61"/>
  <c r="I21" i="61"/>
  <c r="H21" i="61"/>
  <c r="G21" i="61"/>
  <c r="F21" i="61"/>
  <c r="E21" i="61"/>
  <c r="D21" i="61"/>
  <c r="C21" i="61"/>
  <c r="B21" i="61"/>
  <c r="M20" i="61"/>
  <c r="L20" i="61"/>
  <c r="K20" i="61"/>
  <c r="J20" i="61"/>
  <c r="I20" i="61"/>
  <c r="H20" i="61"/>
  <c r="G20" i="61"/>
  <c r="F20" i="61"/>
  <c r="E20" i="61"/>
  <c r="D20" i="61"/>
  <c r="C20" i="61"/>
  <c r="B20" i="61"/>
  <c r="M19" i="61"/>
  <c r="L19" i="61"/>
  <c r="K19" i="61"/>
  <c r="J19" i="61"/>
  <c r="I19" i="61"/>
  <c r="H19" i="61"/>
  <c r="G19" i="61"/>
  <c r="F19" i="61"/>
  <c r="E19" i="61"/>
  <c r="D19" i="61"/>
  <c r="C19" i="61"/>
  <c r="B19" i="61"/>
  <c r="M18" i="61"/>
  <c r="L18" i="61"/>
  <c r="K18" i="61"/>
  <c r="J18" i="61"/>
  <c r="I18" i="61"/>
  <c r="H18" i="61"/>
  <c r="G18" i="61"/>
  <c r="F18" i="61"/>
  <c r="E18" i="61"/>
  <c r="D18" i="61"/>
  <c r="C18" i="61"/>
  <c r="B18" i="61"/>
  <c r="M17" i="61"/>
  <c r="L17" i="61"/>
  <c r="K17" i="61"/>
  <c r="J17" i="61"/>
  <c r="I17" i="61"/>
  <c r="H17" i="61"/>
  <c r="G17" i="61"/>
  <c r="F17" i="61"/>
  <c r="E17" i="61"/>
  <c r="D17" i="61"/>
  <c r="C17" i="61"/>
  <c r="B17" i="61"/>
  <c r="M16" i="61"/>
  <c r="L16" i="61"/>
  <c r="K16" i="61"/>
  <c r="J16" i="61"/>
  <c r="I16" i="61"/>
  <c r="H16" i="61"/>
  <c r="G16" i="61"/>
  <c r="F16" i="61"/>
  <c r="E16" i="61"/>
  <c r="D16" i="61"/>
  <c r="C16" i="61"/>
  <c r="B16" i="61"/>
  <c r="M15" i="61"/>
  <c r="L15" i="61"/>
  <c r="K15" i="61"/>
  <c r="J15" i="61"/>
  <c r="I15" i="61"/>
  <c r="H15" i="61"/>
  <c r="G15" i="61"/>
  <c r="F15" i="61"/>
  <c r="E15" i="61"/>
  <c r="D15" i="61"/>
  <c r="C15" i="61"/>
  <c r="B15" i="61"/>
  <c r="M14" i="61"/>
  <c r="L14" i="61"/>
  <c r="K14" i="61"/>
  <c r="J14" i="61"/>
  <c r="I14" i="61"/>
  <c r="H14" i="61"/>
  <c r="G14" i="61"/>
  <c r="F14" i="61"/>
  <c r="E14" i="61"/>
  <c r="D14" i="61"/>
  <c r="C14" i="61"/>
  <c r="B14" i="61"/>
  <c r="M13" i="61"/>
  <c r="L13" i="61"/>
  <c r="K13" i="61"/>
  <c r="J13" i="61"/>
  <c r="I13" i="61"/>
  <c r="H13" i="61"/>
  <c r="G13" i="61"/>
  <c r="F13" i="61"/>
  <c r="E13" i="61"/>
  <c r="D13" i="61"/>
  <c r="C13" i="61"/>
  <c r="B13" i="61"/>
  <c r="M12" i="61"/>
  <c r="L12" i="61"/>
  <c r="K12" i="61"/>
  <c r="J12" i="61"/>
  <c r="I12" i="61"/>
  <c r="H12" i="61"/>
  <c r="G12" i="61"/>
  <c r="F12" i="61"/>
  <c r="E12" i="61"/>
  <c r="D12" i="61"/>
  <c r="C12" i="61"/>
  <c r="B12" i="61"/>
  <c r="M11" i="61"/>
  <c r="L11" i="61"/>
  <c r="K11" i="61"/>
  <c r="J11" i="61"/>
  <c r="I11" i="61"/>
  <c r="H11" i="61"/>
  <c r="G11" i="61"/>
  <c r="F11" i="61"/>
  <c r="E11" i="61"/>
  <c r="D11" i="61"/>
  <c r="C11" i="61"/>
  <c r="B11" i="61"/>
  <c r="M10" i="61"/>
  <c r="L10" i="61"/>
  <c r="K10" i="61"/>
  <c r="J10" i="61"/>
  <c r="I10" i="61"/>
  <c r="H10" i="61"/>
  <c r="G10" i="61"/>
  <c r="F10" i="61"/>
  <c r="E10" i="61"/>
  <c r="D10" i="61"/>
  <c r="C10" i="61"/>
  <c r="B10" i="61"/>
  <c r="M9" i="61"/>
  <c r="L9" i="61"/>
  <c r="K9" i="61"/>
  <c r="J9" i="61"/>
  <c r="I9" i="61"/>
  <c r="H9" i="61"/>
  <c r="G9" i="61"/>
  <c r="F9" i="61"/>
  <c r="E9" i="61"/>
  <c r="D9" i="61"/>
  <c r="C9" i="61"/>
  <c r="B9" i="61"/>
  <c r="M8" i="61"/>
  <c r="L8" i="61"/>
  <c r="K8" i="61"/>
  <c r="J8" i="61"/>
  <c r="I8" i="61"/>
  <c r="H8" i="61"/>
  <c r="G8" i="61"/>
  <c r="F8" i="61"/>
  <c r="E8" i="61"/>
  <c r="D8" i="61"/>
  <c r="C8" i="61"/>
  <c r="B8" i="61"/>
  <c r="M7" i="61"/>
  <c r="L7" i="61"/>
  <c r="K7" i="61"/>
  <c r="J7" i="61"/>
  <c r="I7" i="61"/>
  <c r="H7" i="61"/>
  <c r="G7" i="61"/>
  <c r="F7" i="61"/>
  <c r="E7" i="61"/>
  <c r="D7" i="61"/>
  <c r="C7" i="61"/>
  <c r="B7" i="61"/>
  <c r="M6" i="61"/>
  <c r="L6" i="61"/>
  <c r="K6" i="61"/>
  <c r="J6" i="61"/>
  <c r="I6" i="61"/>
  <c r="H6" i="61"/>
  <c r="G6" i="61"/>
  <c r="F6" i="61"/>
  <c r="E6" i="61"/>
  <c r="D6" i="61"/>
  <c r="C6" i="61"/>
  <c r="B6" i="61"/>
  <c r="M5" i="61"/>
  <c r="L5" i="61"/>
  <c r="K5" i="61"/>
  <c r="J5" i="61"/>
  <c r="I5" i="61"/>
  <c r="H5" i="61"/>
  <c r="G5" i="61"/>
  <c r="F5" i="61"/>
  <c r="E5" i="61"/>
  <c r="D5" i="61"/>
  <c r="C5" i="61"/>
  <c r="B5" i="61"/>
  <c r="M4" i="61"/>
  <c r="M24" i="61" s="1"/>
  <c r="L4" i="61"/>
  <c r="K4" i="61"/>
  <c r="K24" i="61" s="1"/>
  <c r="J4" i="61"/>
  <c r="I4" i="61"/>
  <c r="H4" i="61"/>
  <c r="G4" i="61"/>
  <c r="G24" i="61" s="1"/>
  <c r="F4" i="61"/>
  <c r="E4" i="61"/>
  <c r="E24" i="61" s="1"/>
  <c r="D4" i="61"/>
  <c r="C4" i="61"/>
  <c r="C24" i="61" s="1"/>
  <c r="B4" i="61"/>
  <c r="B24" i="60"/>
  <c r="N23" i="60"/>
  <c r="M23" i="60"/>
  <c r="L23" i="60"/>
  <c r="K23" i="60"/>
  <c r="J23" i="60"/>
  <c r="I23" i="60"/>
  <c r="H23" i="60"/>
  <c r="G23" i="60"/>
  <c r="F23" i="60"/>
  <c r="E23" i="60"/>
  <c r="D23" i="60"/>
  <c r="C23" i="60"/>
  <c r="N22" i="60"/>
  <c r="M22" i="60"/>
  <c r="L22" i="60"/>
  <c r="K22" i="60"/>
  <c r="J22" i="60"/>
  <c r="I22" i="60"/>
  <c r="H22" i="60"/>
  <c r="G22" i="60"/>
  <c r="F22" i="60"/>
  <c r="E22" i="60"/>
  <c r="D22" i="60"/>
  <c r="C22" i="60"/>
  <c r="N21" i="60"/>
  <c r="M21" i="60"/>
  <c r="L21" i="60"/>
  <c r="K21" i="60"/>
  <c r="J21" i="60"/>
  <c r="I21" i="60"/>
  <c r="H21" i="60"/>
  <c r="G21" i="60"/>
  <c r="F21" i="60"/>
  <c r="E21" i="60"/>
  <c r="D21" i="60"/>
  <c r="C21" i="60"/>
  <c r="N20" i="60"/>
  <c r="M20" i="60"/>
  <c r="L20" i="60"/>
  <c r="K20" i="60"/>
  <c r="J20" i="60"/>
  <c r="I20" i="60"/>
  <c r="H20" i="60"/>
  <c r="G20" i="60"/>
  <c r="F20" i="60"/>
  <c r="E20" i="60"/>
  <c r="D20" i="60"/>
  <c r="C20" i="60"/>
  <c r="N19" i="60"/>
  <c r="M19" i="60"/>
  <c r="L19" i="60"/>
  <c r="K19" i="60"/>
  <c r="J19" i="60"/>
  <c r="I19" i="60"/>
  <c r="H19" i="60"/>
  <c r="G19" i="60"/>
  <c r="F19" i="60"/>
  <c r="E19" i="60"/>
  <c r="D19" i="60"/>
  <c r="C19" i="60"/>
  <c r="N18" i="60"/>
  <c r="M18" i="60"/>
  <c r="L18" i="60"/>
  <c r="K18" i="60"/>
  <c r="J18" i="60"/>
  <c r="I18" i="60"/>
  <c r="H18" i="60"/>
  <c r="G18" i="60"/>
  <c r="F18" i="60"/>
  <c r="E18" i="60"/>
  <c r="D18" i="60"/>
  <c r="C18" i="60"/>
  <c r="N17" i="60"/>
  <c r="M17" i="60"/>
  <c r="L17" i="60"/>
  <c r="K17" i="60"/>
  <c r="J17" i="60"/>
  <c r="I17" i="60"/>
  <c r="H17" i="60"/>
  <c r="G17" i="60"/>
  <c r="F17" i="60"/>
  <c r="E17" i="60"/>
  <c r="D17" i="60"/>
  <c r="C17" i="60"/>
  <c r="N16" i="60"/>
  <c r="M16" i="60"/>
  <c r="L16" i="60"/>
  <c r="K16" i="60"/>
  <c r="J16" i="60"/>
  <c r="I16" i="60"/>
  <c r="H16" i="60"/>
  <c r="G16" i="60"/>
  <c r="F16" i="60"/>
  <c r="E16" i="60"/>
  <c r="D16" i="60"/>
  <c r="C16" i="60"/>
  <c r="N15" i="60"/>
  <c r="M15" i="60"/>
  <c r="L15" i="60"/>
  <c r="K15" i="60"/>
  <c r="J15" i="60"/>
  <c r="I15" i="60"/>
  <c r="H15" i="60"/>
  <c r="G15" i="60"/>
  <c r="F15" i="60"/>
  <c r="E15" i="60"/>
  <c r="D15" i="60"/>
  <c r="C15" i="60"/>
  <c r="N14" i="60"/>
  <c r="M14" i="60"/>
  <c r="L14" i="60"/>
  <c r="K14" i="60"/>
  <c r="J14" i="60"/>
  <c r="I14" i="60"/>
  <c r="H14" i="60"/>
  <c r="G14" i="60"/>
  <c r="F14" i="60"/>
  <c r="E14" i="60"/>
  <c r="D14" i="60"/>
  <c r="C14" i="60"/>
  <c r="N13" i="60"/>
  <c r="M13" i="60"/>
  <c r="L13" i="60"/>
  <c r="K13" i="60"/>
  <c r="J13" i="60"/>
  <c r="I13" i="60"/>
  <c r="H13" i="60"/>
  <c r="G13" i="60"/>
  <c r="F13" i="60"/>
  <c r="E13" i="60"/>
  <c r="D13" i="60"/>
  <c r="C13" i="60"/>
  <c r="N12" i="60"/>
  <c r="M12" i="60"/>
  <c r="L12" i="60"/>
  <c r="K12" i="60"/>
  <c r="J12" i="60"/>
  <c r="I12" i="60"/>
  <c r="H12" i="60"/>
  <c r="G12" i="60"/>
  <c r="F12" i="60"/>
  <c r="E12" i="60"/>
  <c r="D12" i="60"/>
  <c r="C12" i="60"/>
  <c r="N11" i="60"/>
  <c r="M11" i="60"/>
  <c r="L11" i="60"/>
  <c r="K11" i="60"/>
  <c r="J11" i="60"/>
  <c r="I11" i="60"/>
  <c r="H11" i="60"/>
  <c r="G11" i="60"/>
  <c r="F11" i="60"/>
  <c r="E11" i="60"/>
  <c r="D11" i="60"/>
  <c r="C11" i="60"/>
  <c r="N10" i="60"/>
  <c r="M10" i="60"/>
  <c r="L10" i="60"/>
  <c r="K10" i="60"/>
  <c r="J10" i="60"/>
  <c r="I10" i="60"/>
  <c r="H10" i="60"/>
  <c r="G10" i="60"/>
  <c r="F10" i="60"/>
  <c r="E10" i="60"/>
  <c r="D10" i="60"/>
  <c r="C10" i="60"/>
  <c r="N9" i="60"/>
  <c r="M9" i="60"/>
  <c r="L9" i="60"/>
  <c r="K9" i="60"/>
  <c r="J9" i="60"/>
  <c r="I9" i="60"/>
  <c r="H9" i="60"/>
  <c r="G9" i="60"/>
  <c r="F9" i="60"/>
  <c r="E9" i="60"/>
  <c r="D9" i="60"/>
  <c r="C9" i="60"/>
  <c r="N8" i="60"/>
  <c r="M8" i="60"/>
  <c r="L8" i="60"/>
  <c r="K8" i="60"/>
  <c r="J8" i="60"/>
  <c r="I8" i="60"/>
  <c r="H8" i="60"/>
  <c r="G8" i="60"/>
  <c r="F8" i="60"/>
  <c r="E8" i="60"/>
  <c r="D8" i="60"/>
  <c r="C8" i="60"/>
  <c r="N7" i="60"/>
  <c r="M7" i="60"/>
  <c r="L7" i="60"/>
  <c r="K7" i="60"/>
  <c r="J7" i="60"/>
  <c r="I7" i="60"/>
  <c r="H7" i="60"/>
  <c r="G7" i="60"/>
  <c r="F7" i="60"/>
  <c r="E7" i="60"/>
  <c r="D7" i="60"/>
  <c r="C7" i="60"/>
  <c r="N6" i="60"/>
  <c r="M6" i="60"/>
  <c r="L6" i="60"/>
  <c r="K6" i="60"/>
  <c r="J6" i="60"/>
  <c r="I6" i="60"/>
  <c r="H6" i="60"/>
  <c r="G6" i="60"/>
  <c r="F6" i="60"/>
  <c r="E6" i="60"/>
  <c r="D6" i="60"/>
  <c r="C6" i="60"/>
  <c r="N5" i="60"/>
  <c r="M5" i="60"/>
  <c r="L5" i="60"/>
  <c r="K5" i="60"/>
  <c r="J5" i="60"/>
  <c r="I5" i="60"/>
  <c r="H5" i="60"/>
  <c r="G5" i="60"/>
  <c r="F5" i="60"/>
  <c r="E5" i="60"/>
  <c r="D5" i="60"/>
  <c r="C5" i="60"/>
  <c r="N4" i="60"/>
  <c r="M4" i="60"/>
  <c r="L4" i="60"/>
  <c r="L24" i="60" s="1"/>
  <c r="K4" i="60"/>
  <c r="J4" i="60"/>
  <c r="I4" i="60"/>
  <c r="H4" i="60"/>
  <c r="G4" i="60"/>
  <c r="F4" i="60"/>
  <c r="E4" i="60"/>
  <c r="D4" i="60"/>
  <c r="C4" i="60"/>
  <c r="N26" i="59"/>
  <c r="M26" i="59"/>
  <c r="L26" i="59"/>
  <c r="K26" i="59"/>
  <c r="J26" i="59"/>
  <c r="I26" i="59"/>
  <c r="H26" i="59"/>
  <c r="G26" i="59"/>
  <c r="F26" i="59"/>
  <c r="E26" i="59"/>
  <c r="D26" i="59"/>
  <c r="C26" i="59"/>
  <c r="B25" i="59"/>
  <c r="N24" i="59"/>
  <c r="M24" i="59"/>
  <c r="L24" i="59"/>
  <c r="K24" i="59"/>
  <c r="J24" i="59"/>
  <c r="I24" i="59"/>
  <c r="H24" i="59"/>
  <c r="G24" i="59"/>
  <c r="F24" i="59"/>
  <c r="E24" i="59"/>
  <c r="D24" i="59"/>
  <c r="C24" i="59"/>
  <c r="N23" i="59"/>
  <c r="M23" i="59"/>
  <c r="L23" i="59"/>
  <c r="K23" i="59"/>
  <c r="J23" i="59"/>
  <c r="I23" i="59"/>
  <c r="H23" i="59"/>
  <c r="G23" i="59"/>
  <c r="F23" i="59"/>
  <c r="E23" i="59"/>
  <c r="D23" i="59"/>
  <c r="C23" i="59"/>
  <c r="N22" i="59"/>
  <c r="M22" i="59"/>
  <c r="L22" i="59"/>
  <c r="K22" i="59"/>
  <c r="J22" i="59"/>
  <c r="I22" i="59"/>
  <c r="H22" i="59"/>
  <c r="G22" i="59"/>
  <c r="F22" i="59"/>
  <c r="E22" i="59"/>
  <c r="D22" i="59"/>
  <c r="C22" i="59"/>
  <c r="N21" i="59"/>
  <c r="M21" i="59"/>
  <c r="L21" i="59"/>
  <c r="K21" i="59"/>
  <c r="J21" i="59"/>
  <c r="I21" i="59"/>
  <c r="H21" i="59"/>
  <c r="G21" i="59"/>
  <c r="F21" i="59"/>
  <c r="E21" i="59"/>
  <c r="D21" i="59"/>
  <c r="C21" i="59"/>
  <c r="N20" i="59"/>
  <c r="M20" i="59"/>
  <c r="L20" i="59"/>
  <c r="K20" i="59"/>
  <c r="J20" i="59"/>
  <c r="I20" i="59"/>
  <c r="H20" i="59"/>
  <c r="G20" i="59"/>
  <c r="F20" i="59"/>
  <c r="E20" i="59"/>
  <c r="D20" i="59"/>
  <c r="C20" i="59"/>
  <c r="N19" i="59"/>
  <c r="M19" i="59"/>
  <c r="L19" i="59"/>
  <c r="K19" i="59"/>
  <c r="J19" i="59"/>
  <c r="I19" i="59"/>
  <c r="H19" i="59"/>
  <c r="G19" i="59"/>
  <c r="F19" i="59"/>
  <c r="E19" i="59"/>
  <c r="D19" i="59"/>
  <c r="C19" i="59"/>
  <c r="N18" i="59"/>
  <c r="M18" i="59"/>
  <c r="L18" i="59"/>
  <c r="K18" i="59"/>
  <c r="J18" i="59"/>
  <c r="I18" i="59"/>
  <c r="H18" i="59"/>
  <c r="G18" i="59"/>
  <c r="F18" i="59"/>
  <c r="E18" i="59"/>
  <c r="D18" i="59"/>
  <c r="C18" i="59"/>
  <c r="N17" i="59"/>
  <c r="M17" i="59"/>
  <c r="L17" i="59"/>
  <c r="K17" i="59"/>
  <c r="J17" i="59"/>
  <c r="I17" i="59"/>
  <c r="H17" i="59"/>
  <c r="G17" i="59"/>
  <c r="F17" i="59"/>
  <c r="E17" i="59"/>
  <c r="D17" i="59"/>
  <c r="C17" i="59"/>
  <c r="N16" i="59"/>
  <c r="M16" i="59"/>
  <c r="L16" i="59"/>
  <c r="K16" i="59"/>
  <c r="J16" i="59"/>
  <c r="I16" i="59"/>
  <c r="H16" i="59"/>
  <c r="G16" i="59"/>
  <c r="F16" i="59"/>
  <c r="E16" i="59"/>
  <c r="D16" i="59"/>
  <c r="C16" i="59"/>
  <c r="N15" i="59"/>
  <c r="M15" i="59"/>
  <c r="L15" i="59"/>
  <c r="K15" i="59"/>
  <c r="J15" i="59"/>
  <c r="I15" i="59"/>
  <c r="H15" i="59"/>
  <c r="G15" i="59"/>
  <c r="F15" i="59"/>
  <c r="E15" i="59"/>
  <c r="D15" i="59"/>
  <c r="C15" i="59"/>
  <c r="N14" i="59"/>
  <c r="M14" i="59"/>
  <c r="L14" i="59"/>
  <c r="K14" i="59"/>
  <c r="J14" i="59"/>
  <c r="I14" i="59"/>
  <c r="H14" i="59"/>
  <c r="G14" i="59"/>
  <c r="F14" i="59"/>
  <c r="E14" i="59"/>
  <c r="D14" i="59"/>
  <c r="C14" i="59"/>
  <c r="N13" i="59"/>
  <c r="M13" i="59"/>
  <c r="L13" i="59"/>
  <c r="K13" i="59"/>
  <c r="J13" i="59"/>
  <c r="I13" i="59"/>
  <c r="H13" i="59"/>
  <c r="G13" i="59"/>
  <c r="F13" i="59"/>
  <c r="E13" i="59"/>
  <c r="D13" i="59"/>
  <c r="C13" i="59"/>
  <c r="N12" i="59"/>
  <c r="M12" i="59"/>
  <c r="L12" i="59"/>
  <c r="K12" i="59"/>
  <c r="J12" i="59"/>
  <c r="I12" i="59"/>
  <c r="H12" i="59"/>
  <c r="G12" i="59"/>
  <c r="F12" i="59"/>
  <c r="E12" i="59"/>
  <c r="D12" i="59"/>
  <c r="C12" i="59"/>
  <c r="N11" i="59"/>
  <c r="M11" i="59"/>
  <c r="L11" i="59"/>
  <c r="K11" i="59"/>
  <c r="J11" i="59"/>
  <c r="I11" i="59"/>
  <c r="H11" i="59"/>
  <c r="G11" i="59"/>
  <c r="F11" i="59"/>
  <c r="E11" i="59"/>
  <c r="D11" i="59"/>
  <c r="C11" i="59"/>
  <c r="N10" i="59"/>
  <c r="M10" i="59"/>
  <c r="L10" i="59"/>
  <c r="K10" i="59"/>
  <c r="J10" i="59"/>
  <c r="I10" i="59"/>
  <c r="H10" i="59"/>
  <c r="G10" i="59"/>
  <c r="F10" i="59"/>
  <c r="E10" i="59"/>
  <c r="D10" i="59"/>
  <c r="C10" i="59"/>
  <c r="N9" i="59"/>
  <c r="M9" i="59"/>
  <c r="L9" i="59"/>
  <c r="K9" i="59"/>
  <c r="J9" i="59"/>
  <c r="I9" i="59"/>
  <c r="H9" i="59"/>
  <c r="G9" i="59"/>
  <c r="F9" i="59"/>
  <c r="E9" i="59"/>
  <c r="D9" i="59"/>
  <c r="C9" i="59"/>
  <c r="N8" i="59"/>
  <c r="M8" i="59"/>
  <c r="L8" i="59"/>
  <c r="K8" i="59"/>
  <c r="J8" i="59"/>
  <c r="I8" i="59"/>
  <c r="H8" i="59"/>
  <c r="G8" i="59"/>
  <c r="F8" i="59"/>
  <c r="E8" i="59"/>
  <c r="D8" i="59"/>
  <c r="C8" i="59"/>
  <c r="N7" i="59"/>
  <c r="M7" i="59"/>
  <c r="L7" i="59"/>
  <c r="K7" i="59"/>
  <c r="J7" i="59"/>
  <c r="I7" i="59"/>
  <c r="H7" i="59"/>
  <c r="G7" i="59"/>
  <c r="F7" i="59"/>
  <c r="E7" i="59"/>
  <c r="D7" i="59"/>
  <c r="C7" i="59"/>
  <c r="N6" i="59"/>
  <c r="M6" i="59"/>
  <c r="L6" i="59"/>
  <c r="K6" i="59"/>
  <c r="J6" i="59"/>
  <c r="I6" i="59"/>
  <c r="H6" i="59"/>
  <c r="G6" i="59"/>
  <c r="F6" i="59"/>
  <c r="E6" i="59"/>
  <c r="D6" i="59"/>
  <c r="C6" i="59"/>
  <c r="N5" i="59"/>
  <c r="M5" i="59"/>
  <c r="M25" i="59" s="1"/>
  <c r="L5" i="59"/>
  <c r="K5" i="59"/>
  <c r="J5" i="59"/>
  <c r="I5" i="59"/>
  <c r="H5" i="59"/>
  <c r="G5" i="59"/>
  <c r="F5" i="59"/>
  <c r="E5" i="59"/>
  <c r="E25" i="59" s="1"/>
  <c r="D5" i="59"/>
  <c r="C5" i="59"/>
  <c r="B24" i="58"/>
  <c r="N23" i="58"/>
  <c r="M23" i="58"/>
  <c r="L23" i="58"/>
  <c r="K23" i="58"/>
  <c r="J23" i="58"/>
  <c r="I23" i="58"/>
  <c r="H23" i="58"/>
  <c r="G23" i="58"/>
  <c r="F23" i="58"/>
  <c r="E23" i="58"/>
  <c r="D23" i="58"/>
  <c r="C23" i="58"/>
  <c r="N22" i="58"/>
  <c r="M22" i="58"/>
  <c r="L22" i="58"/>
  <c r="K22" i="58"/>
  <c r="J22" i="58"/>
  <c r="I22" i="58"/>
  <c r="H22" i="58"/>
  <c r="G22" i="58"/>
  <c r="F22" i="58"/>
  <c r="E22" i="58"/>
  <c r="D22" i="58"/>
  <c r="C22" i="58"/>
  <c r="N21" i="58"/>
  <c r="M21" i="58"/>
  <c r="L21" i="58"/>
  <c r="K21" i="58"/>
  <c r="J21" i="58"/>
  <c r="I21" i="58"/>
  <c r="H21" i="58"/>
  <c r="G21" i="58"/>
  <c r="F21" i="58"/>
  <c r="E21" i="58"/>
  <c r="D21" i="58"/>
  <c r="C21" i="58"/>
  <c r="N20" i="58"/>
  <c r="M20" i="58"/>
  <c r="L20" i="58"/>
  <c r="K20" i="58"/>
  <c r="J20" i="58"/>
  <c r="I20" i="58"/>
  <c r="H20" i="58"/>
  <c r="G20" i="58"/>
  <c r="F20" i="58"/>
  <c r="E20" i="58"/>
  <c r="D20" i="58"/>
  <c r="C20" i="58"/>
  <c r="N19" i="58"/>
  <c r="M19" i="58"/>
  <c r="L19" i="58"/>
  <c r="K19" i="58"/>
  <c r="J19" i="58"/>
  <c r="I19" i="58"/>
  <c r="H19" i="58"/>
  <c r="G19" i="58"/>
  <c r="F19" i="58"/>
  <c r="E19" i="58"/>
  <c r="D19" i="58"/>
  <c r="C19" i="58"/>
  <c r="N18" i="58"/>
  <c r="M18" i="58"/>
  <c r="L18" i="58"/>
  <c r="K18" i="58"/>
  <c r="J18" i="58"/>
  <c r="I18" i="58"/>
  <c r="H18" i="58"/>
  <c r="G18" i="58"/>
  <c r="F18" i="58"/>
  <c r="E18" i="58"/>
  <c r="D18" i="58"/>
  <c r="C18" i="58"/>
  <c r="N17" i="58"/>
  <c r="M17" i="58"/>
  <c r="L17" i="58"/>
  <c r="K17" i="58"/>
  <c r="J17" i="58"/>
  <c r="I17" i="58"/>
  <c r="H17" i="58"/>
  <c r="G17" i="58"/>
  <c r="F17" i="58"/>
  <c r="E17" i="58"/>
  <c r="D17" i="58"/>
  <c r="C17" i="58"/>
  <c r="N16" i="58"/>
  <c r="M16" i="58"/>
  <c r="L16" i="58"/>
  <c r="K16" i="58"/>
  <c r="J16" i="58"/>
  <c r="I16" i="58"/>
  <c r="H16" i="58"/>
  <c r="G16" i="58"/>
  <c r="F16" i="58"/>
  <c r="E16" i="58"/>
  <c r="D16" i="58"/>
  <c r="C16" i="58"/>
  <c r="N15" i="58"/>
  <c r="M15" i="58"/>
  <c r="L15" i="58"/>
  <c r="K15" i="58"/>
  <c r="J15" i="58"/>
  <c r="I15" i="58"/>
  <c r="H15" i="58"/>
  <c r="G15" i="58"/>
  <c r="F15" i="58"/>
  <c r="E15" i="58"/>
  <c r="D15" i="58"/>
  <c r="C15" i="58"/>
  <c r="N14" i="58"/>
  <c r="M14" i="58"/>
  <c r="L14" i="58"/>
  <c r="K14" i="58"/>
  <c r="J14" i="58"/>
  <c r="I14" i="58"/>
  <c r="H14" i="58"/>
  <c r="G14" i="58"/>
  <c r="F14" i="58"/>
  <c r="E14" i="58"/>
  <c r="D14" i="58"/>
  <c r="C14" i="58"/>
  <c r="N13" i="58"/>
  <c r="M13" i="58"/>
  <c r="L13" i="58"/>
  <c r="K13" i="58"/>
  <c r="J13" i="58"/>
  <c r="I13" i="58"/>
  <c r="H13" i="58"/>
  <c r="G13" i="58"/>
  <c r="F13" i="58"/>
  <c r="E13" i="58"/>
  <c r="D13" i="58"/>
  <c r="C13" i="58"/>
  <c r="N12" i="58"/>
  <c r="M12" i="58"/>
  <c r="L12" i="58"/>
  <c r="K12" i="58"/>
  <c r="J12" i="58"/>
  <c r="I12" i="58"/>
  <c r="H12" i="58"/>
  <c r="G12" i="58"/>
  <c r="F12" i="58"/>
  <c r="E12" i="58"/>
  <c r="D12" i="58"/>
  <c r="C12" i="58"/>
  <c r="N11" i="58"/>
  <c r="M11" i="58"/>
  <c r="L11" i="58"/>
  <c r="K11" i="58"/>
  <c r="J11" i="58"/>
  <c r="I11" i="58"/>
  <c r="H11" i="58"/>
  <c r="G11" i="58"/>
  <c r="F11" i="58"/>
  <c r="E11" i="58"/>
  <c r="D11" i="58"/>
  <c r="C11" i="58"/>
  <c r="N10" i="58"/>
  <c r="M10" i="58"/>
  <c r="L10" i="58"/>
  <c r="K10" i="58"/>
  <c r="J10" i="58"/>
  <c r="I10" i="58"/>
  <c r="H10" i="58"/>
  <c r="G10" i="58"/>
  <c r="F10" i="58"/>
  <c r="E10" i="58"/>
  <c r="D10" i="58"/>
  <c r="C10" i="58"/>
  <c r="N9" i="58"/>
  <c r="M9" i="58"/>
  <c r="L9" i="58"/>
  <c r="K9" i="58"/>
  <c r="J9" i="58"/>
  <c r="I9" i="58"/>
  <c r="H9" i="58"/>
  <c r="G9" i="58"/>
  <c r="F9" i="58"/>
  <c r="E9" i="58"/>
  <c r="D9" i="58"/>
  <c r="C9" i="58"/>
  <c r="N8" i="58"/>
  <c r="M8" i="58"/>
  <c r="L8" i="58"/>
  <c r="K8" i="58"/>
  <c r="J8" i="58"/>
  <c r="I8" i="58"/>
  <c r="H8" i="58"/>
  <c r="G8" i="58"/>
  <c r="F8" i="58"/>
  <c r="E8" i="58"/>
  <c r="D8" i="58"/>
  <c r="C8" i="58"/>
  <c r="N7" i="58"/>
  <c r="M7" i="58"/>
  <c r="L7" i="58"/>
  <c r="K7" i="58"/>
  <c r="J7" i="58"/>
  <c r="I7" i="58"/>
  <c r="H7" i="58"/>
  <c r="G7" i="58"/>
  <c r="F7" i="58"/>
  <c r="E7" i="58"/>
  <c r="D7" i="58"/>
  <c r="C7" i="58"/>
  <c r="N6" i="58"/>
  <c r="M6" i="58"/>
  <c r="L6" i="58"/>
  <c r="K6" i="58"/>
  <c r="J6" i="58"/>
  <c r="I6" i="58"/>
  <c r="H6" i="58"/>
  <c r="G6" i="58"/>
  <c r="F6" i="58"/>
  <c r="E6" i="58"/>
  <c r="D6" i="58"/>
  <c r="C6" i="58"/>
  <c r="N5" i="58"/>
  <c r="M5" i="58"/>
  <c r="L5" i="58"/>
  <c r="K5" i="58"/>
  <c r="J5" i="58"/>
  <c r="I5" i="58"/>
  <c r="H5" i="58"/>
  <c r="G5" i="58"/>
  <c r="F5" i="58"/>
  <c r="E5" i="58"/>
  <c r="D5" i="58"/>
  <c r="C5" i="58"/>
  <c r="N4" i="58"/>
  <c r="M4" i="58"/>
  <c r="L4" i="58"/>
  <c r="L24" i="58" s="1"/>
  <c r="K4" i="58"/>
  <c r="K24" i="58" s="1"/>
  <c r="J4" i="58"/>
  <c r="I4" i="58"/>
  <c r="H4" i="58"/>
  <c r="H24" i="58" s="1"/>
  <c r="G4" i="58"/>
  <c r="F4" i="58"/>
  <c r="E4" i="58"/>
  <c r="D4" i="58"/>
  <c r="D24" i="58" s="1"/>
  <c r="C4" i="58"/>
  <c r="B24" i="57"/>
  <c r="B24" i="56"/>
  <c r="O4" i="58" l="1"/>
  <c r="O11" i="58"/>
  <c r="O12" i="58"/>
  <c r="O15" i="58"/>
  <c r="O16" i="58"/>
  <c r="O17" i="58"/>
  <c r="O19" i="58"/>
  <c r="O21" i="58"/>
  <c r="O7" i="58"/>
  <c r="O8" i="58"/>
  <c r="O9" i="58"/>
  <c r="O20" i="58"/>
  <c r="O23" i="58"/>
  <c r="I4" i="63"/>
  <c r="I24" i="63" s="1"/>
  <c r="E27" i="59"/>
  <c r="M27" i="59"/>
  <c r="C24" i="58"/>
  <c r="I24" i="60"/>
  <c r="O5" i="59"/>
  <c r="C25" i="59"/>
  <c r="C27" i="59" s="1"/>
  <c r="G25" i="59"/>
  <c r="G27" i="59" s="1"/>
  <c r="K25" i="59"/>
  <c r="K27" i="59" s="1"/>
  <c r="O8" i="59"/>
  <c r="O9" i="59"/>
  <c r="O10" i="59"/>
  <c r="O11" i="59"/>
  <c r="O12" i="59"/>
  <c r="O13" i="59"/>
  <c r="O14" i="59"/>
  <c r="O15" i="59"/>
  <c r="O16" i="59"/>
  <c r="O19" i="59"/>
  <c r="O20" i="59"/>
  <c r="O22" i="59"/>
  <c r="O23" i="59"/>
  <c r="O24" i="59"/>
  <c r="E24" i="58"/>
  <c r="I24" i="58"/>
  <c r="H25" i="59"/>
  <c r="H27" i="59" s="1"/>
  <c r="L25" i="59"/>
  <c r="L27" i="59" s="1"/>
  <c r="C24" i="60"/>
  <c r="O6" i="60"/>
  <c r="G24" i="60"/>
  <c r="K24" i="60"/>
  <c r="O7" i="60"/>
  <c r="O9" i="60"/>
  <c r="O11" i="60"/>
  <c r="O12" i="60"/>
  <c r="O13" i="60"/>
  <c r="O14" i="60"/>
  <c r="O15" i="60"/>
  <c r="O17" i="60"/>
  <c r="O19" i="60"/>
  <c r="O21" i="60"/>
  <c r="O22" i="60"/>
  <c r="F24" i="58"/>
  <c r="J24" i="58"/>
  <c r="N24" i="58"/>
  <c r="D24" i="60"/>
  <c r="N5" i="61"/>
  <c r="J24" i="61"/>
  <c r="N7" i="61"/>
  <c r="B24" i="61"/>
  <c r="N11" i="61"/>
  <c r="N12" i="61"/>
  <c r="N13" i="61"/>
  <c r="N16" i="61"/>
  <c r="N17" i="61"/>
  <c r="N18" i="61"/>
  <c r="N19" i="61"/>
  <c r="N21" i="61"/>
  <c r="N23" i="61"/>
  <c r="D4" i="63"/>
  <c r="D24" i="63" s="1"/>
  <c r="B24" i="63"/>
  <c r="N4" i="63"/>
  <c r="M4" i="63"/>
  <c r="M24" i="63" s="1"/>
  <c r="H4" i="63"/>
  <c r="H24" i="63" s="1"/>
  <c r="C4" i="63"/>
  <c r="C24" i="63" s="1"/>
  <c r="K4" i="63"/>
  <c r="K24" i="63" s="1"/>
  <c r="E4" i="63"/>
  <c r="E24" i="63" s="1"/>
  <c r="L4" i="63"/>
  <c r="L24" i="63" s="1"/>
  <c r="O26" i="59"/>
  <c r="O5" i="58"/>
  <c r="O6" i="59"/>
  <c r="N8" i="61"/>
  <c r="O6" i="58"/>
  <c r="O13" i="58"/>
  <c r="O14" i="58"/>
  <c r="D25" i="59"/>
  <c r="D27" i="59" s="1"/>
  <c r="O7" i="59"/>
  <c r="O21" i="59"/>
  <c r="H24" i="60"/>
  <c r="O23" i="60"/>
  <c r="N9" i="61"/>
  <c r="N10" i="61"/>
  <c r="N20" i="61"/>
  <c r="O9" i="63"/>
  <c r="M24" i="58"/>
  <c r="O22" i="58"/>
  <c r="I25" i="59"/>
  <c r="I27" i="59" s="1"/>
  <c r="E24" i="60"/>
  <c r="M24" i="60"/>
  <c r="O8" i="60"/>
  <c r="O16" i="60"/>
  <c r="I24" i="61"/>
  <c r="N24" i="63"/>
  <c r="G24" i="63"/>
  <c r="G24" i="58"/>
  <c r="O10" i="58"/>
  <c r="F25" i="59"/>
  <c r="F27" i="59" s="1"/>
  <c r="J25" i="59"/>
  <c r="J27" i="59" s="1"/>
  <c r="N25" i="59"/>
  <c r="N27" i="59" s="1"/>
  <c r="O18" i="59"/>
  <c r="F24" i="60"/>
  <c r="J24" i="60"/>
  <c r="N24" i="60"/>
  <c r="O10" i="60"/>
  <c r="O18" i="60"/>
  <c r="N4" i="61"/>
  <c r="F24" i="61"/>
  <c r="N15" i="61"/>
  <c r="N14" i="61"/>
  <c r="O10" i="63"/>
  <c r="O11" i="63"/>
  <c r="O18" i="63"/>
  <c r="O19" i="63"/>
  <c r="O18" i="58"/>
  <c r="O17" i="59"/>
  <c r="O4" i="60"/>
  <c r="O5" i="60"/>
  <c r="O20" i="60"/>
  <c r="D24" i="61"/>
  <c r="H24" i="61"/>
  <c r="L24" i="61"/>
  <c r="N6" i="61"/>
  <c r="N22" i="61"/>
  <c r="F4" i="63"/>
  <c r="F24" i="63" s="1"/>
  <c r="J4" i="63"/>
  <c r="J24" i="63" s="1"/>
  <c r="O25" i="59" l="1"/>
  <c r="O27" i="59" s="1"/>
  <c r="N24" i="61"/>
  <c r="O24" i="58"/>
  <c r="O4" i="63"/>
  <c r="O24" i="63"/>
  <c r="O25" i="62"/>
  <c r="O24" i="60"/>
  <c r="K55" i="18" l="1"/>
  <c r="H55" i="18"/>
  <c r="K54" i="18"/>
  <c r="H54" i="18"/>
  <c r="K53" i="18"/>
  <c r="H53" i="18"/>
  <c r="K52" i="18"/>
  <c r="H52" i="18"/>
  <c r="K51" i="18"/>
  <c r="H51" i="18"/>
  <c r="K50" i="18"/>
  <c r="H50" i="18"/>
  <c r="K49" i="18"/>
  <c r="H49" i="18"/>
  <c r="K48" i="18"/>
  <c r="H48" i="18"/>
  <c r="K47" i="18"/>
  <c r="H47" i="18"/>
  <c r="K46" i="18"/>
  <c r="H46" i="18"/>
  <c r="K45" i="18"/>
  <c r="H45" i="18"/>
  <c r="K44" i="18"/>
  <c r="H44" i="18"/>
  <c r="K43" i="18"/>
  <c r="H43" i="18"/>
  <c r="K42" i="18"/>
  <c r="H42" i="18"/>
  <c r="K41" i="18"/>
  <c r="H41" i="18"/>
  <c r="K40" i="18"/>
  <c r="H40" i="18"/>
  <c r="K39" i="18"/>
  <c r="H39" i="18"/>
  <c r="K38" i="18"/>
  <c r="H38" i="18"/>
  <c r="K37" i="18"/>
  <c r="H37" i="18"/>
  <c r="K36" i="18"/>
  <c r="H36" i="18"/>
  <c r="E10" i="7" l="1"/>
  <c r="E11" i="7"/>
  <c r="E12" i="7"/>
  <c r="E13" i="7"/>
  <c r="E14" i="7"/>
  <c r="E15" i="7"/>
  <c r="E16" i="7"/>
  <c r="E17" i="7"/>
  <c r="E18" i="7"/>
  <c r="E19" i="7"/>
  <c r="E20" i="7"/>
  <c r="E21" i="7"/>
  <c r="E22" i="7"/>
  <c r="E23" i="7"/>
  <c r="E24" i="7"/>
  <c r="E25" i="7"/>
  <c r="E26" i="7"/>
  <c r="E27" i="7"/>
  <c r="E28" i="7"/>
  <c r="E9" i="7"/>
  <c r="G10" i="8" l="1"/>
  <c r="G11" i="8"/>
  <c r="G12" i="8"/>
  <c r="G13" i="8"/>
  <c r="G14" i="8"/>
  <c r="G15" i="8"/>
  <c r="G16" i="8"/>
  <c r="G17" i="8"/>
  <c r="G18" i="8"/>
  <c r="G19" i="8"/>
  <c r="G20" i="8"/>
  <c r="G21" i="8"/>
  <c r="G22" i="8"/>
  <c r="G23" i="8"/>
  <c r="G24" i="8"/>
  <c r="G25" i="8"/>
  <c r="G26" i="8"/>
  <c r="G27" i="8"/>
  <c r="G28" i="8"/>
  <c r="G9" i="8"/>
  <c r="K39" i="15"/>
  <c r="N27" i="52" l="1"/>
  <c r="N31" i="51" s="1"/>
  <c r="N32" i="51" s="1"/>
  <c r="M27" i="52"/>
  <c r="M31" i="51" s="1"/>
  <c r="M32" i="51" s="1"/>
  <c r="L27" i="52"/>
  <c r="L31" i="51" s="1"/>
  <c r="L32" i="51" s="1"/>
  <c r="K27" i="52"/>
  <c r="K31" i="51" s="1"/>
  <c r="K32" i="51" s="1"/>
  <c r="J27" i="52"/>
  <c r="J31" i="51" s="1"/>
  <c r="J32" i="51" s="1"/>
  <c r="I27" i="52"/>
  <c r="I31" i="51" s="1"/>
  <c r="I32" i="51" s="1"/>
  <c r="H27" i="52"/>
  <c r="H31" i="51" s="1"/>
  <c r="H32" i="51" s="1"/>
  <c r="G27" i="52"/>
  <c r="G31" i="51" s="1"/>
  <c r="G32" i="51" s="1"/>
  <c r="F27" i="52"/>
  <c r="F31" i="51" s="1"/>
  <c r="F32" i="51" s="1"/>
  <c r="E27" i="52"/>
  <c r="E31" i="51" s="1"/>
  <c r="E32" i="51" s="1"/>
  <c r="D27" i="52"/>
  <c r="D31" i="51" s="1"/>
  <c r="D32" i="51" s="1"/>
  <c r="C27" i="52"/>
  <c r="C31" i="51" s="1"/>
  <c r="B27" i="52"/>
  <c r="O26" i="52"/>
  <c r="O25" i="52"/>
  <c r="O24" i="52"/>
  <c r="O23" i="52"/>
  <c r="O22" i="52"/>
  <c r="O21" i="52"/>
  <c r="O20" i="52"/>
  <c r="O19" i="52"/>
  <c r="O18" i="52"/>
  <c r="O17" i="52"/>
  <c r="O16" i="52"/>
  <c r="O15" i="52"/>
  <c r="O14" i="52"/>
  <c r="O13" i="52"/>
  <c r="O12" i="52"/>
  <c r="O11" i="52"/>
  <c r="O10" i="52"/>
  <c r="O9" i="52"/>
  <c r="O8" i="52"/>
  <c r="O7" i="52"/>
  <c r="C32" i="51"/>
  <c r="B25" i="50"/>
  <c r="N27" i="49"/>
  <c r="N30" i="48" s="1"/>
  <c r="N31" i="48" s="1"/>
  <c r="M27" i="49"/>
  <c r="M30" i="48" s="1"/>
  <c r="M31" i="48" s="1"/>
  <c r="L27" i="49"/>
  <c r="L30" i="48" s="1"/>
  <c r="L31" i="48" s="1"/>
  <c r="K27" i="49"/>
  <c r="K30" i="48" s="1"/>
  <c r="K31" i="48" s="1"/>
  <c r="J27" i="49"/>
  <c r="J30" i="48" s="1"/>
  <c r="J31" i="48" s="1"/>
  <c r="I27" i="49"/>
  <c r="I30" i="48" s="1"/>
  <c r="I31" i="48" s="1"/>
  <c r="H27" i="49"/>
  <c r="H30" i="48" s="1"/>
  <c r="H31" i="48" s="1"/>
  <c r="G27" i="49"/>
  <c r="G30" i="48" s="1"/>
  <c r="G31" i="48" s="1"/>
  <c r="F27" i="49"/>
  <c r="F30" i="48" s="1"/>
  <c r="F31" i="48" s="1"/>
  <c r="E27" i="49"/>
  <c r="E30" i="48" s="1"/>
  <c r="E31" i="48" s="1"/>
  <c r="D27" i="49"/>
  <c r="D30" i="48" s="1"/>
  <c r="D31" i="48" s="1"/>
  <c r="C27" i="49"/>
  <c r="O27" i="49" s="1"/>
  <c r="B27" i="49"/>
  <c r="O26" i="49"/>
  <c r="O25" i="49"/>
  <c r="O24" i="49"/>
  <c r="O23" i="49"/>
  <c r="O22" i="49"/>
  <c r="O21" i="49"/>
  <c r="O20" i="49"/>
  <c r="O19" i="49"/>
  <c r="O18" i="49"/>
  <c r="O17" i="49"/>
  <c r="O16" i="49"/>
  <c r="O15" i="49"/>
  <c r="O14" i="49"/>
  <c r="O13" i="49"/>
  <c r="O12" i="49"/>
  <c r="O11" i="49"/>
  <c r="O10" i="49"/>
  <c r="O9" i="49"/>
  <c r="O8" i="49"/>
  <c r="O7" i="49"/>
  <c r="C30" i="48"/>
  <c r="C31" i="48" s="1"/>
  <c r="O29" i="48"/>
  <c r="K26" i="47"/>
  <c r="J24" i="47"/>
  <c r="D23" i="47"/>
  <c r="L21" i="47"/>
  <c r="J19" i="47"/>
  <c r="N18" i="47"/>
  <c r="M16" i="47"/>
  <c r="K15" i="47"/>
  <c r="M14" i="47"/>
  <c r="K11" i="47"/>
  <c r="M10" i="47"/>
  <c r="K9" i="47"/>
  <c r="M8" i="47"/>
  <c r="K7" i="47"/>
  <c r="B25" i="46"/>
  <c r="O32" i="45"/>
  <c r="N28" i="45"/>
  <c r="M28" i="45"/>
  <c r="L28" i="45"/>
  <c r="K28" i="45"/>
  <c r="J28" i="45"/>
  <c r="I28" i="45"/>
  <c r="H28" i="45"/>
  <c r="G28" i="45"/>
  <c r="F28" i="45"/>
  <c r="E28" i="45"/>
  <c r="D28" i="45"/>
  <c r="C28" i="45"/>
  <c r="N27" i="45"/>
  <c r="N29" i="45" s="1"/>
  <c r="M27" i="45"/>
  <c r="M33" i="45" s="1"/>
  <c r="L27" i="45"/>
  <c r="L33" i="45" s="1"/>
  <c r="K27" i="45"/>
  <c r="K33" i="45" s="1"/>
  <c r="J27" i="45"/>
  <c r="J29" i="45" s="1"/>
  <c r="I27" i="45"/>
  <c r="I33" i="45" s="1"/>
  <c r="H27" i="45"/>
  <c r="H33" i="45" s="1"/>
  <c r="G27" i="45"/>
  <c r="G33" i="45" s="1"/>
  <c r="F27" i="45"/>
  <c r="F29" i="45" s="1"/>
  <c r="E27" i="45"/>
  <c r="E33" i="45" s="1"/>
  <c r="D27" i="45"/>
  <c r="D33" i="45" s="1"/>
  <c r="C27" i="45"/>
  <c r="C33" i="45" s="1"/>
  <c r="B27" i="45"/>
  <c r="O26" i="45"/>
  <c r="O25" i="45"/>
  <c r="O24" i="45"/>
  <c r="O23" i="45"/>
  <c r="O22" i="45"/>
  <c r="O21" i="45"/>
  <c r="O20" i="45"/>
  <c r="O19" i="45"/>
  <c r="O18" i="45"/>
  <c r="O17" i="45"/>
  <c r="O16" i="45"/>
  <c r="O15" i="45"/>
  <c r="O14" i="45"/>
  <c r="O13" i="45"/>
  <c r="O12" i="45"/>
  <c r="O11" i="45"/>
  <c r="O10" i="45"/>
  <c r="O9" i="45"/>
  <c r="O8" i="45"/>
  <c r="O7" i="45"/>
  <c r="N28" i="44"/>
  <c r="M28" i="44"/>
  <c r="L28" i="44"/>
  <c r="K28" i="44"/>
  <c r="J28" i="44"/>
  <c r="I28" i="44"/>
  <c r="H28" i="44"/>
  <c r="G28" i="44"/>
  <c r="F28" i="44"/>
  <c r="E28" i="44"/>
  <c r="D28" i="44"/>
  <c r="C28" i="44"/>
  <c r="B27" i="44"/>
  <c r="N26" i="44"/>
  <c r="N24" i="43" s="1"/>
  <c r="M26" i="44"/>
  <c r="L26" i="44"/>
  <c r="L24" i="43" s="1"/>
  <c r="K26" i="44"/>
  <c r="K24" i="43" s="1"/>
  <c r="J26" i="44"/>
  <c r="J24" i="43" s="1"/>
  <c r="I26" i="44"/>
  <c r="H26" i="44"/>
  <c r="H24" i="43" s="1"/>
  <c r="G26" i="44"/>
  <c r="F26" i="44"/>
  <c r="F24" i="43" s="1"/>
  <c r="E26" i="44"/>
  <c r="D26" i="44"/>
  <c r="D24" i="43" s="1"/>
  <c r="C26" i="44"/>
  <c r="C24" i="43" s="1"/>
  <c r="N25" i="44"/>
  <c r="N23" i="43" s="1"/>
  <c r="M25" i="44"/>
  <c r="L25" i="44"/>
  <c r="L23" i="43" s="1"/>
  <c r="K25" i="44"/>
  <c r="J25" i="44"/>
  <c r="J23" i="43" s="1"/>
  <c r="I25" i="44"/>
  <c r="H25" i="44"/>
  <c r="H23" i="43" s="1"/>
  <c r="G25" i="44"/>
  <c r="G23" i="43" s="1"/>
  <c r="F25" i="44"/>
  <c r="F23" i="43" s="1"/>
  <c r="E25" i="44"/>
  <c r="D25" i="44"/>
  <c r="D23" i="43" s="1"/>
  <c r="C25" i="44"/>
  <c r="N24" i="44"/>
  <c r="N22" i="43" s="1"/>
  <c r="M24" i="44"/>
  <c r="L24" i="44"/>
  <c r="L22" i="43" s="1"/>
  <c r="K24" i="44"/>
  <c r="K22" i="43" s="1"/>
  <c r="J24" i="44"/>
  <c r="J22" i="43" s="1"/>
  <c r="I24" i="44"/>
  <c r="H24" i="44"/>
  <c r="H22" i="43" s="1"/>
  <c r="G24" i="44"/>
  <c r="F24" i="44"/>
  <c r="F22" i="43" s="1"/>
  <c r="E24" i="44"/>
  <c r="D24" i="44"/>
  <c r="D22" i="43" s="1"/>
  <c r="C24" i="44"/>
  <c r="C22" i="43" s="1"/>
  <c r="N23" i="44"/>
  <c r="N21" i="43" s="1"/>
  <c r="M23" i="44"/>
  <c r="L23" i="44"/>
  <c r="L21" i="43" s="1"/>
  <c r="K23" i="44"/>
  <c r="K21" i="43" s="1"/>
  <c r="J23" i="44"/>
  <c r="J21" i="43" s="1"/>
  <c r="I23" i="44"/>
  <c r="H23" i="44"/>
  <c r="H21" i="43" s="1"/>
  <c r="G23" i="44"/>
  <c r="F23" i="44"/>
  <c r="F21" i="43" s="1"/>
  <c r="E23" i="44"/>
  <c r="D23" i="44"/>
  <c r="D21" i="43" s="1"/>
  <c r="C23" i="44"/>
  <c r="C21" i="43" s="1"/>
  <c r="N22" i="44"/>
  <c r="N20" i="43" s="1"/>
  <c r="M22" i="44"/>
  <c r="L22" i="44"/>
  <c r="L20" i="43" s="1"/>
  <c r="K22" i="44"/>
  <c r="J22" i="44"/>
  <c r="J20" i="43" s="1"/>
  <c r="I22" i="44"/>
  <c r="H22" i="44"/>
  <c r="H20" i="43" s="1"/>
  <c r="G22" i="44"/>
  <c r="G20" i="43" s="1"/>
  <c r="F22" i="44"/>
  <c r="F20" i="43" s="1"/>
  <c r="E22" i="44"/>
  <c r="D22" i="44"/>
  <c r="D20" i="43" s="1"/>
  <c r="C22" i="44"/>
  <c r="C20" i="43" s="1"/>
  <c r="N21" i="44"/>
  <c r="N19" i="43" s="1"/>
  <c r="M21" i="44"/>
  <c r="L21" i="44"/>
  <c r="L19" i="43" s="1"/>
  <c r="K21" i="44"/>
  <c r="J21" i="44"/>
  <c r="J19" i="43" s="1"/>
  <c r="I21" i="44"/>
  <c r="H21" i="44"/>
  <c r="H19" i="43" s="1"/>
  <c r="G21" i="44"/>
  <c r="G19" i="43" s="1"/>
  <c r="F21" i="44"/>
  <c r="F19" i="43" s="1"/>
  <c r="E21" i="44"/>
  <c r="D21" i="44"/>
  <c r="D19" i="43" s="1"/>
  <c r="C21" i="44"/>
  <c r="C19" i="43" s="1"/>
  <c r="N20" i="44"/>
  <c r="N18" i="43" s="1"/>
  <c r="M20" i="44"/>
  <c r="L20" i="44"/>
  <c r="L18" i="43" s="1"/>
  <c r="K20" i="44"/>
  <c r="K18" i="43" s="1"/>
  <c r="J20" i="44"/>
  <c r="J18" i="43" s="1"/>
  <c r="I20" i="44"/>
  <c r="H20" i="44"/>
  <c r="H18" i="43" s="1"/>
  <c r="G20" i="44"/>
  <c r="F20" i="44"/>
  <c r="F18" i="43" s="1"/>
  <c r="E20" i="44"/>
  <c r="D20" i="44"/>
  <c r="D18" i="43" s="1"/>
  <c r="C20" i="44"/>
  <c r="C18" i="43" s="1"/>
  <c r="N19" i="44"/>
  <c r="N17" i="43" s="1"/>
  <c r="M19" i="44"/>
  <c r="L19" i="44"/>
  <c r="L17" i="43" s="1"/>
  <c r="K19" i="44"/>
  <c r="K17" i="43" s="1"/>
  <c r="J19" i="44"/>
  <c r="J17" i="43" s="1"/>
  <c r="I19" i="44"/>
  <c r="H19" i="44"/>
  <c r="H17" i="43" s="1"/>
  <c r="G19" i="44"/>
  <c r="F19" i="44"/>
  <c r="F17" i="43" s="1"/>
  <c r="E19" i="44"/>
  <c r="D19" i="44"/>
  <c r="D17" i="43" s="1"/>
  <c r="C19" i="44"/>
  <c r="N18" i="44"/>
  <c r="N16" i="43" s="1"/>
  <c r="M18" i="44"/>
  <c r="L18" i="44"/>
  <c r="L16" i="43" s="1"/>
  <c r="K18" i="44"/>
  <c r="J18" i="44"/>
  <c r="J16" i="43" s="1"/>
  <c r="I18" i="44"/>
  <c r="H18" i="44"/>
  <c r="H16" i="43" s="1"/>
  <c r="G18" i="44"/>
  <c r="G16" i="43" s="1"/>
  <c r="F18" i="44"/>
  <c r="F16" i="43" s="1"/>
  <c r="E18" i="44"/>
  <c r="D18" i="44"/>
  <c r="D16" i="43" s="1"/>
  <c r="C18" i="44"/>
  <c r="C16" i="43" s="1"/>
  <c r="N17" i="44"/>
  <c r="N15" i="43" s="1"/>
  <c r="M17" i="44"/>
  <c r="L17" i="44"/>
  <c r="L15" i="43" s="1"/>
  <c r="K17" i="44"/>
  <c r="K15" i="43" s="1"/>
  <c r="J17" i="44"/>
  <c r="J15" i="43" s="1"/>
  <c r="I17" i="44"/>
  <c r="H17" i="44"/>
  <c r="H15" i="43" s="1"/>
  <c r="G17" i="44"/>
  <c r="F17" i="44"/>
  <c r="F15" i="43" s="1"/>
  <c r="E17" i="44"/>
  <c r="D17" i="44"/>
  <c r="D15" i="43" s="1"/>
  <c r="C17" i="44"/>
  <c r="C15" i="43" s="1"/>
  <c r="N16" i="44"/>
  <c r="N14" i="43" s="1"/>
  <c r="M16" i="44"/>
  <c r="L16" i="44"/>
  <c r="L14" i="43" s="1"/>
  <c r="K16" i="44"/>
  <c r="K14" i="43" s="1"/>
  <c r="J16" i="44"/>
  <c r="J14" i="43" s="1"/>
  <c r="I16" i="44"/>
  <c r="H16" i="44"/>
  <c r="H14" i="43" s="1"/>
  <c r="G16" i="44"/>
  <c r="G14" i="43" s="1"/>
  <c r="F16" i="44"/>
  <c r="F14" i="43" s="1"/>
  <c r="E16" i="44"/>
  <c r="D16" i="44"/>
  <c r="D14" i="43" s="1"/>
  <c r="C16" i="44"/>
  <c r="C14" i="43" s="1"/>
  <c r="N15" i="44"/>
  <c r="N13" i="43" s="1"/>
  <c r="M15" i="44"/>
  <c r="L15" i="44"/>
  <c r="L13" i="43" s="1"/>
  <c r="K15" i="44"/>
  <c r="K13" i="43" s="1"/>
  <c r="J15" i="44"/>
  <c r="J13" i="43" s="1"/>
  <c r="I15" i="44"/>
  <c r="H15" i="44"/>
  <c r="H13" i="43" s="1"/>
  <c r="G15" i="44"/>
  <c r="G13" i="43" s="1"/>
  <c r="F15" i="44"/>
  <c r="F13" i="43" s="1"/>
  <c r="E15" i="44"/>
  <c r="D15" i="44"/>
  <c r="D13" i="43" s="1"/>
  <c r="C15" i="44"/>
  <c r="N14" i="44"/>
  <c r="N12" i="43" s="1"/>
  <c r="M14" i="44"/>
  <c r="L14" i="44"/>
  <c r="L12" i="43" s="1"/>
  <c r="K14" i="44"/>
  <c r="J14" i="44"/>
  <c r="J12" i="43" s="1"/>
  <c r="I14" i="44"/>
  <c r="H14" i="44"/>
  <c r="H12" i="43" s="1"/>
  <c r="G14" i="44"/>
  <c r="G12" i="43" s="1"/>
  <c r="F14" i="44"/>
  <c r="F12" i="43" s="1"/>
  <c r="E14" i="44"/>
  <c r="D14" i="44"/>
  <c r="D12" i="43" s="1"/>
  <c r="C14" i="44"/>
  <c r="C12" i="43" s="1"/>
  <c r="N13" i="44"/>
  <c r="N11" i="43" s="1"/>
  <c r="M13" i="44"/>
  <c r="L13" i="44"/>
  <c r="L11" i="43" s="1"/>
  <c r="K13" i="44"/>
  <c r="J13" i="44"/>
  <c r="J11" i="43" s="1"/>
  <c r="I13" i="44"/>
  <c r="H13" i="44"/>
  <c r="H11" i="43" s="1"/>
  <c r="G13" i="44"/>
  <c r="G11" i="43" s="1"/>
  <c r="F13" i="44"/>
  <c r="F11" i="43" s="1"/>
  <c r="E13" i="44"/>
  <c r="D13" i="44"/>
  <c r="D11" i="43" s="1"/>
  <c r="C13" i="44"/>
  <c r="C11" i="43" s="1"/>
  <c r="N12" i="44"/>
  <c r="N10" i="43" s="1"/>
  <c r="M12" i="44"/>
  <c r="L12" i="44"/>
  <c r="L10" i="43" s="1"/>
  <c r="K12" i="44"/>
  <c r="K10" i="43" s="1"/>
  <c r="J12" i="44"/>
  <c r="J10" i="43" s="1"/>
  <c r="I12" i="44"/>
  <c r="H12" i="44"/>
  <c r="H10" i="43" s="1"/>
  <c r="G12" i="44"/>
  <c r="G10" i="43" s="1"/>
  <c r="F12" i="44"/>
  <c r="F10" i="43" s="1"/>
  <c r="E12" i="44"/>
  <c r="D12" i="44"/>
  <c r="D10" i="43" s="1"/>
  <c r="C12" i="44"/>
  <c r="C10" i="43" s="1"/>
  <c r="N11" i="44"/>
  <c r="N9" i="43" s="1"/>
  <c r="M11" i="44"/>
  <c r="L11" i="44"/>
  <c r="L9" i="43" s="1"/>
  <c r="K11" i="44"/>
  <c r="K9" i="43" s="1"/>
  <c r="J11" i="44"/>
  <c r="J9" i="43" s="1"/>
  <c r="I11" i="44"/>
  <c r="H11" i="44"/>
  <c r="H9" i="43" s="1"/>
  <c r="G11" i="44"/>
  <c r="G9" i="43" s="1"/>
  <c r="F11" i="44"/>
  <c r="F9" i="43" s="1"/>
  <c r="E11" i="44"/>
  <c r="D11" i="44"/>
  <c r="D9" i="43" s="1"/>
  <c r="C11" i="44"/>
  <c r="C9" i="43" s="1"/>
  <c r="N10" i="44"/>
  <c r="N8" i="43" s="1"/>
  <c r="M10" i="44"/>
  <c r="L10" i="44"/>
  <c r="L8" i="43" s="1"/>
  <c r="K10" i="44"/>
  <c r="J10" i="44"/>
  <c r="J8" i="43" s="1"/>
  <c r="I10" i="44"/>
  <c r="H10" i="44"/>
  <c r="H8" i="43" s="1"/>
  <c r="G10" i="44"/>
  <c r="G8" i="43" s="1"/>
  <c r="F10" i="44"/>
  <c r="F8" i="43" s="1"/>
  <c r="E10" i="44"/>
  <c r="D10" i="44"/>
  <c r="D8" i="43" s="1"/>
  <c r="C10" i="44"/>
  <c r="C8" i="43" s="1"/>
  <c r="N9" i="44"/>
  <c r="N7" i="43" s="1"/>
  <c r="M9" i="44"/>
  <c r="L9" i="44"/>
  <c r="L7" i="43" s="1"/>
  <c r="K9" i="44"/>
  <c r="J9" i="44"/>
  <c r="J7" i="43" s="1"/>
  <c r="I9" i="44"/>
  <c r="H9" i="44"/>
  <c r="H7" i="43" s="1"/>
  <c r="G9" i="44"/>
  <c r="G7" i="43" s="1"/>
  <c r="F9" i="44"/>
  <c r="F7" i="43" s="1"/>
  <c r="E9" i="44"/>
  <c r="D9" i="44"/>
  <c r="D7" i="43" s="1"/>
  <c r="C9" i="44"/>
  <c r="C7" i="43" s="1"/>
  <c r="N8" i="44"/>
  <c r="N6" i="43" s="1"/>
  <c r="M8" i="44"/>
  <c r="L8" i="44"/>
  <c r="K8" i="44"/>
  <c r="K6" i="43" s="1"/>
  <c r="J8" i="44"/>
  <c r="J6" i="43" s="1"/>
  <c r="I8" i="44"/>
  <c r="H8" i="44"/>
  <c r="G8" i="44"/>
  <c r="G6" i="43" s="1"/>
  <c r="F8" i="44"/>
  <c r="E8" i="44"/>
  <c r="D8" i="44"/>
  <c r="C8" i="44"/>
  <c r="C6" i="43" s="1"/>
  <c r="N7" i="44"/>
  <c r="N5" i="43" s="1"/>
  <c r="M7" i="44"/>
  <c r="L7" i="44"/>
  <c r="L5" i="43" s="1"/>
  <c r="K7" i="44"/>
  <c r="K5" i="43" s="1"/>
  <c r="J7" i="44"/>
  <c r="J5" i="43" s="1"/>
  <c r="I7" i="44"/>
  <c r="H7" i="44"/>
  <c r="H5" i="43" s="1"/>
  <c r="G7" i="44"/>
  <c r="G5" i="43" s="1"/>
  <c r="F7" i="44"/>
  <c r="F5" i="43" s="1"/>
  <c r="E7" i="44"/>
  <c r="D7" i="44"/>
  <c r="D5" i="43" s="1"/>
  <c r="C7" i="44"/>
  <c r="C5" i="43" s="1"/>
  <c r="N26" i="43"/>
  <c r="M26" i="43"/>
  <c r="L26" i="43"/>
  <c r="K26" i="43"/>
  <c r="J26" i="43"/>
  <c r="I26" i="43"/>
  <c r="H26" i="43"/>
  <c r="G26" i="43"/>
  <c r="F26" i="43"/>
  <c r="E26" i="43"/>
  <c r="D26" i="43"/>
  <c r="C26" i="43"/>
  <c r="B25" i="43"/>
  <c r="M24" i="43"/>
  <c r="I24" i="43"/>
  <c r="G24" i="43"/>
  <c r="E24" i="43"/>
  <c r="M23" i="43"/>
  <c r="K23" i="43"/>
  <c r="I23" i="43"/>
  <c r="E23" i="43"/>
  <c r="C23" i="43"/>
  <c r="M22" i="43"/>
  <c r="I22" i="43"/>
  <c r="G22" i="43"/>
  <c r="E22" i="43"/>
  <c r="M21" i="43"/>
  <c r="I21" i="43"/>
  <c r="G21" i="43"/>
  <c r="E21" i="43"/>
  <c r="M20" i="43"/>
  <c r="K20" i="43"/>
  <c r="I20" i="43"/>
  <c r="E20" i="43"/>
  <c r="M19" i="43"/>
  <c r="K19" i="43"/>
  <c r="I19" i="43"/>
  <c r="E19" i="43"/>
  <c r="M18" i="43"/>
  <c r="I18" i="43"/>
  <c r="G18" i="43"/>
  <c r="E18" i="43"/>
  <c r="M17" i="43"/>
  <c r="I17" i="43"/>
  <c r="G17" i="43"/>
  <c r="E17" i="43"/>
  <c r="C17" i="43"/>
  <c r="M16" i="43"/>
  <c r="K16" i="43"/>
  <c r="I16" i="43"/>
  <c r="E16" i="43"/>
  <c r="M15" i="43"/>
  <c r="I15" i="43"/>
  <c r="G15" i="43"/>
  <c r="E15" i="43"/>
  <c r="M14" i="43"/>
  <c r="I14" i="43"/>
  <c r="E14" i="43"/>
  <c r="M13" i="43"/>
  <c r="I13" i="43"/>
  <c r="E13" i="43"/>
  <c r="M12" i="43"/>
  <c r="K12" i="43"/>
  <c r="I12" i="43"/>
  <c r="E12" i="43"/>
  <c r="M11" i="43"/>
  <c r="K11" i="43"/>
  <c r="I11" i="43"/>
  <c r="E11" i="43"/>
  <c r="M10" i="43"/>
  <c r="I10" i="43"/>
  <c r="E10" i="43"/>
  <c r="M9" i="43"/>
  <c r="I9" i="43"/>
  <c r="E9" i="43"/>
  <c r="M8" i="43"/>
  <c r="K8" i="43"/>
  <c r="I8" i="43"/>
  <c r="E8" i="43"/>
  <c r="M7" i="43"/>
  <c r="K7" i="43"/>
  <c r="I7" i="43"/>
  <c r="E7" i="43"/>
  <c r="M6" i="43"/>
  <c r="I6" i="43"/>
  <c r="E6" i="43"/>
  <c r="M5" i="43"/>
  <c r="I5" i="43"/>
  <c r="E5" i="43"/>
  <c r="K31" i="42"/>
  <c r="G31" i="42"/>
  <c r="C31" i="42"/>
  <c r="O30" i="42"/>
  <c r="N27" i="42"/>
  <c r="N31" i="42" s="1"/>
  <c r="M27" i="42"/>
  <c r="M31" i="42" s="1"/>
  <c r="L27" i="42"/>
  <c r="L31" i="42" s="1"/>
  <c r="K27" i="42"/>
  <c r="J27" i="42"/>
  <c r="J31" i="42" s="1"/>
  <c r="I27" i="42"/>
  <c r="I31" i="42" s="1"/>
  <c r="H27" i="42"/>
  <c r="H31" i="42" s="1"/>
  <c r="G27" i="42"/>
  <c r="F27" i="42"/>
  <c r="F31" i="42" s="1"/>
  <c r="E27" i="42"/>
  <c r="E31" i="42" s="1"/>
  <c r="D27" i="42"/>
  <c r="D31" i="42" s="1"/>
  <c r="C27" i="42"/>
  <c r="B27" i="42"/>
  <c r="O26" i="42"/>
  <c r="O25" i="42"/>
  <c r="O24" i="42"/>
  <c r="O23" i="42"/>
  <c r="O22" i="42"/>
  <c r="O21" i="42"/>
  <c r="O20" i="42"/>
  <c r="O19" i="42"/>
  <c r="O18" i="42"/>
  <c r="O17" i="42"/>
  <c r="O16" i="42"/>
  <c r="O15" i="42"/>
  <c r="O14" i="42"/>
  <c r="O13" i="42"/>
  <c r="O12" i="42"/>
  <c r="O11" i="42"/>
  <c r="O10" i="42"/>
  <c r="O9" i="42"/>
  <c r="O8" i="42"/>
  <c r="O7" i="42"/>
  <c r="B25" i="40"/>
  <c r="L32" i="38"/>
  <c r="K32" i="38"/>
  <c r="D32" i="38"/>
  <c r="C32" i="38"/>
  <c r="O31" i="39"/>
  <c r="O33" i="39" s="1"/>
  <c r="N27" i="39"/>
  <c r="N32" i="38" s="1"/>
  <c r="M27" i="39"/>
  <c r="M32" i="38" s="1"/>
  <c r="L27" i="39"/>
  <c r="K27" i="39"/>
  <c r="J27" i="39"/>
  <c r="J32" i="38" s="1"/>
  <c r="I27" i="39"/>
  <c r="I32" i="38" s="1"/>
  <c r="H27" i="39"/>
  <c r="G27" i="39"/>
  <c r="F27" i="39"/>
  <c r="F32" i="38" s="1"/>
  <c r="E27" i="39"/>
  <c r="E32" i="38" s="1"/>
  <c r="D27" i="39"/>
  <c r="C27" i="39"/>
  <c r="B27" i="39"/>
  <c r="O26" i="39"/>
  <c r="O25" i="39"/>
  <c r="O24" i="39"/>
  <c r="O23" i="39"/>
  <c r="O22" i="39"/>
  <c r="O21" i="39"/>
  <c r="O20" i="39"/>
  <c r="O19" i="39"/>
  <c r="O18" i="39"/>
  <c r="O17" i="39"/>
  <c r="O16" i="39"/>
  <c r="O15" i="39"/>
  <c r="O14" i="39"/>
  <c r="O13" i="39"/>
  <c r="O12" i="39"/>
  <c r="O11" i="39"/>
  <c r="O10" i="39"/>
  <c r="O9" i="39"/>
  <c r="O8" i="39"/>
  <c r="O7" i="39"/>
  <c r="H32" i="38"/>
  <c r="G32" i="38"/>
  <c r="B25" i="37"/>
  <c r="N31" i="36"/>
  <c r="M31" i="36"/>
  <c r="L31" i="36"/>
  <c r="K31" i="36"/>
  <c r="J31" i="36"/>
  <c r="I31" i="36"/>
  <c r="H31" i="36"/>
  <c r="G31" i="36"/>
  <c r="F31" i="36"/>
  <c r="E31" i="36"/>
  <c r="D31" i="36"/>
  <c r="C31" i="36"/>
  <c r="N27" i="36"/>
  <c r="N32" i="36" s="1"/>
  <c r="M27" i="36"/>
  <c r="L27" i="36"/>
  <c r="K27" i="36"/>
  <c r="J27" i="36"/>
  <c r="J32" i="36" s="1"/>
  <c r="I27" i="36"/>
  <c r="H27" i="36"/>
  <c r="H32" i="36" s="1"/>
  <c r="G27" i="36"/>
  <c r="F27" i="36"/>
  <c r="E27" i="36"/>
  <c r="D27" i="36"/>
  <c r="C27" i="36"/>
  <c r="O27" i="36" s="1"/>
  <c r="B27" i="36"/>
  <c r="O26" i="36"/>
  <c r="O25" i="36"/>
  <c r="O24" i="36"/>
  <c r="O23" i="36"/>
  <c r="O22" i="36"/>
  <c r="O21" i="36"/>
  <c r="O20" i="36"/>
  <c r="O19" i="36"/>
  <c r="O18" i="36"/>
  <c r="O17" i="36"/>
  <c r="O16" i="36"/>
  <c r="O15" i="36"/>
  <c r="O14" i="36"/>
  <c r="O13" i="36"/>
  <c r="O12" i="36"/>
  <c r="O11" i="36"/>
  <c r="O10" i="36"/>
  <c r="O9" i="36"/>
  <c r="O8" i="36"/>
  <c r="O7" i="36"/>
  <c r="B27" i="35"/>
  <c r="N26" i="35"/>
  <c r="N26" i="34" s="1"/>
  <c r="M26" i="35"/>
  <c r="M26" i="34" s="1"/>
  <c r="L26" i="35"/>
  <c r="K26" i="35"/>
  <c r="J26" i="35"/>
  <c r="J26" i="34" s="1"/>
  <c r="I26" i="35"/>
  <c r="I26" i="34" s="1"/>
  <c r="H26" i="35"/>
  <c r="G26" i="35"/>
  <c r="F26" i="35"/>
  <c r="F26" i="34" s="1"/>
  <c r="E26" i="35"/>
  <c r="E26" i="34" s="1"/>
  <c r="D26" i="35"/>
  <c r="C26" i="35"/>
  <c r="N25" i="35"/>
  <c r="N25" i="34" s="1"/>
  <c r="M25" i="35"/>
  <c r="L25" i="35"/>
  <c r="K25" i="35"/>
  <c r="K25" i="34" s="1"/>
  <c r="J25" i="35"/>
  <c r="J25" i="34" s="1"/>
  <c r="I25" i="35"/>
  <c r="H25" i="35"/>
  <c r="G25" i="35"/>
  <c r="G25" i="34" s="1"/>
  <c r="F25" i="35"/>
  <c r="F25" i="34" s="1"/>
  <c r="E25" i="35"/>
  <c r="D25" i="35"/>
  <c r="C25" i="35"/>
  <c r="C25" i="34" s="1"/>
  <c r="N24" i="35"/>
  <c r="M24" i="35"/>
  <c r="L24" i="35"/>
  <c r="L24" i="34" s="1"/>
  <c r="K24" i="35"/>
  <c r="K24" i="34" s="1"/>
  <c r="J24" i="35"/>
  <c r="I24" i="35"/>
  <c r="I24" i="34" s="1"/>
  <c r="H24" i="35"/>
  <c r="H24" i="34" s="1"/>
  <c r="G24" i="35"/>
  <c r="G24" i="34" s="1"/>
  <c r="F24" i="35"/>
  <c r="E24" i="35"/>
  <c r="D24" i="35"/>
  <c r="D24" i="34" s="1"/>
  <c r="C24" i="35"/>
  <c r="C24" i="34" s="1"/>
  <c r="N23" i="35"/>
  <c r="M23" i="35"/>
  <c r="M23" i="34" s="1"/>
  <c r="L23" i="35"/>
  <c r="L23" i="34" s="1"/>
  <c r="K23" i="35"/>
  <c r="J23" i="35"/>
  <c r="I23" i="35"/>
  <c r="I23" i="34" s="1"/>
  <c r="H23" i="35"/>
  <c r="H23" i="34" s="1"/>
  <c r="G23" i="35"/>
  <c r="F23" i="35"/>
  <c r="E23" i="35"/>
  <c r="E23" i="34" s="1"/>
  <c r="D23" i="35"/>
  <c r="D23" i="34" s="1"/>
  <c r="C23" i="35"/>
  <c r="N22" i="35"/>
  <c r="N22" i="34" s="1"/>
  <c r="M22" i="35"/>
  <c r="M22" i="34" s="1"/>
  <c r="L22" i="35"/>
  <c r="K22" i="35"/>
  <c r="J22" i="35"/>
  <c r="J22" i="34" s="1"/>
  <c r="I22" i="35"/>
  <c r="I22" i="34" s="1"/>
  <c r="H22" i="35"/>
  <c r="G22" i="35"/>
  <c r="F22" i="35"/>
  <c r="F22" i="34" s="1"/>
  <c r="E22" i="35"/>
  <c r="E22" i="34" s="1"/>
  <c r="D22" i="35"/>
  <c r="C22" i="35"/>
  <c r="N21" i="35"/>
  <c r="N21" i="34" s="1"/>
  <c r="M21" i="35"/>
  <c r="M21" i="34" s="1"/>
  <c r="L21" i="35"/>
  <c r="K21" i="35"/>
  <c r="K21" i="34" s="1"/>
  <c r="J21" i="35"/>
  <c r="J21" i="34" s="1"/>
  <c r="I21" i="35"/>
  <c r="H21" i="35"/>
  <c r="G21" i="35"/>
  <c r="G21" i="34" s="1"/>
  <c r="F21" i="35"/>
  <c r="F21" i="34" s="1"/>
  <c r="E21" i="35"/>
  <c r="E21" i="34" s="1"/>
  <c r="D21" i="35"/>
  <c r="C21" i="35"/>
  <c r="C21" i="34" s="1"/>
  <c r="N20" i="35"/>
  <c r="M20" i="35"/>
  <c r="L20" i="35"/>
  <c r="L20" i="34" s="1"/>
  <c r="K20" i="35"/>
  <c r="K20" i="34" s="1"/>
  <c r="J20" i="35"/>
  <c r="I20" i="35"/>
  <c r="I20" i="34" s="1"/>
  <c r="H20" i="35"/>
  <c r="H20" i="34" s="1"/>
  <c r="G20" i="35"/>
  <c r="G20" i="34" s="1"/>
  <c r="F20" i="35"/>
  <c r="E20" i="35"/>
  <c r="D20" i="35"/>
  <c r="D20" i="34" s="1"/>
  <c r="C20" i="35"/>
  <c r="C20" i="34" s="1"/>
  <c r="N19" i="35"/>
  <c r="M19" i="35"/>
  <c r="M19" i="34" s="1"/>
  <c r="L19" i="35"/>
  <c r="L19" i="34" s="1"/>
  <c r="K19" i="35"/>
  <c r="J19" i="35"/>
  <c r="I19" i="35"/>
  <c r="I19" i="34" s="1"/>
  <c r="H19" i="35"/>
  <c r="H19" i="34" s="1"/>
  <c r="G19" i="35"/>
  <c r="F19" i="35"/>
  <c r="E19" i="35"/>
  <c r="E19" i="34" s="1"/>
  <c r="D19" i="35"/>
  <c r="D19" i="34" s="1"/>
  <c r="C19" i="35"/>
  <c r="N18" i="35"/>
  <c r="N18" i="34" s="1"/>
  <c r="M18" i="35"/>
  <c r="M18" i="34" s="1"/>
  <c r="L18" i="35"/>
  <c r="K18" i="35"/>
  <c r="J18" i="35"/>
  <c r="J18" i="34" s="1"/>
  <c r="I18" i="35"/>
  <c r="I18" i="34" s="1"/>
  <c r="H18" i="35"/>
  <c r="G18" i="35"/>
  <c r="F18" i="35"/>
  <c r="F18" i="34" s="1"/>
  <c r="E18" i="35"/>
  <c r="E18" i="34" s="1"/>
  <c r="D18" i="35"/>
  <c r="C18" i="35"/>
  <c r="N17" i="35"/>
  <c r="N17" i="34" s="1"/>
  <c r="M17" i="35"/>
  <c r="L17" i="35"/>
  <c r="K17" i="35"/>
  <c r="K17" i="34" s="1"/>
  <c r="J17" i="35"/>
  <c r="J17" i="34" s="1"/>
  <c r="I17" i="35"/>
  <c r="H17" i="35"/>
  <c r="G17" i="35"/>
  <c r="G17" i="34" s="1"/>
  <c r="F17" i="35"/>
  <c r="F17" i="34" s="1"/>
  <c r="E17" i="35"/>
  <c r="D17" i="35"/>
  <c r="C17" i="35"/>
  <c r="C17" i="34" s="1"/>
  <c r="N16" i="35"/>
  <c r="M16" i="35"/>
  <c r="L16" i="35"/>
  <c r="L16" i="34" s="1"/>
  <c r="K16" i="35"/>
  <c r="K16" i="34" s="1"/>
  <c r="J16" i="35"/>
  <c r="I16" i="35"/>
  <c r="I16" i="34" s="1"/>
  <c r="H16" i="35"/>
  <c r="H16" i="34" s="1"/>
  <c r="G16" i="35"/>
  <c r="G16" i="34" s="1"/>
  <c r="F16" i="35"/>
  <c r="E16" i="35"/>
  <c r="D16" i="35"/>
  <c r="D16" i="34" s="1"/>
  <c r="C16" i="35"/>
  <c r="C16" i="34" s="1"/>
  <c r="N15" i="35"/>
  <c r="M15" i="35"/>
  <c r="M15" i="34" s="1"/>
  <c r="L15" i="35"/>
  <c r="L15" i="34" s="1"/>
  <c r="K15" i="35"/>
  <c r="J15" i="35"/>
  <c r="I15" i="35"/>
  <c r="I15" i="34" s="1"/>
  <c r="H15" i="35"/>
  <c r="H15" i="34" s="1"/>
  <c r="G15" i="35"/>
  <c r="F15" i="35"/>
  <c r="E15" i="35"/>
  <c r="E15" i="34" s="1"/>
  <c r="D15" i="35"/>
  <c r="D15" i="34" s="1"/>
  <c r="C15" i="35"/>
  <c r="N14" i="35"/>
  <c r="N14" i="34" s="1"/>
  <c r="M14" i="35"/>
  <c r="M14" i="34" s="1"/>
  <c r="L14" i="35"/>
  <c r="K14" i="35"/>
  <c r="J14" i="35"/>
  <c r="J14" i="34" s="1"/>
  <c r="I14" i="35"/>
  <c r="I14" i="34" s="1"/>
  <c r="H14" i="35"/>
  <c r="G14" i="35"/>
  <c r="F14" i="35"/>
  <c r="F14" i="34" s="1"/>
  <c r="E14" i="35"/>
  <c r="E14" i="34" s="1"/>
  <c r="D14" i="35"/>
  <c r="C14" i="35"/>
  <c r="N13" i="35"/>
  <c r="N13" i="34" s="1"/>
  <c r="M13" i="35"/>
  <c r="L13" i="35"/>
  <c r="K13" i="35"/>
  <c r="K13" i="34" s="1"/>
  <c r="J13" i="35"/>
  <c r="J13" i="34" s="1"/>
  <c r="I13" i="35"/>
  <c r="I13" i="34" s="1"/>
  <c r="H13" i="35"/>
  <c r="G13" i="35"/>
  <c r="G13" i="34" s="1"/>
  <c r="F13" i="35"/>
  <c r="F13" i="34" s="1"/>
  <c r="E13" i="35"/>
  <c r="D13" i="35"/>
  <c r="C13" i="35"/>
  <c r="C13" i="34" s="1"/>
  <c r="N12" i="35"/>
  <c r="M12" i="35"/>
  <c r="L12" i="35"/>
  <c r="L12" i="34" s="1"/>
  <c r="K12" i="35"/>
  <c r="K12" i="34" s="1"/>
  <c r="J12" i="35"/>
  <c r="I12" i="35"/>
  <c r="I12" i="34" s="1"/>
  <c r="H12" i="35"/>
  <c r="H12" i="34" s="1"/>
  <c r="G12" i="35"/>
  <c r="G12" i="34" s="1"/>
  <c r="F12" i="35"/>
  <c r="E12" i="35"/>
  <c r="E12" i="34" s="1"/>
  <c r="D12" i="35"/>
  <c r="D12" i="34" s="1"/>
  <c r="C12" i="35"/>
  <c r="C12" i="34" s="1"/>
  <c r="N11" i="35"/>
  <c r="M11" i="35"/>
  <c r="M11" i="34" s="1"/>
  <c r="L11" i="35"/>
  <c r="L11" i="34" s="1"/>
  <c r="K11" i="35"/>
  <c r="J11" i="35"/>
  <c r="I11" i="35"/>
  <c r="I11" i="34" s="1"/>
  <c r="H11" i="35"/>
  <c r="H11" i="34" s="1"/>
  <c r="G11" i="35"/>
  <c r="G11" i="34" s="1"/>
  <c r="F11" i="35"/>
  <c r="E11" i="35"/>
  <c r="E11" i="34" s="1"/>
  <c r="D11" i="35"/>
  <c r="D11" i="34" s="1"/>
  <c r="C11" i="35"/>
  <c r="O11" i="35" s="1"/>
  <c r="N10" i="35"/>
  <c r="N10" i="34" s="1"/>
  <c r="M10" i="35"/>
  <c r="M10" i="34" s="1"/>
  <c r="L10" i="35"/>
  <c r="K10" i="35"/>
  <c r="K10" i="34" s="1"/>
  <c r="J10" i="35"/>
  <c r="J10" i="34" s="1"/>
  <c r="I10" i="35"/>
  <c r="I10" i="34" s="1"/>
  <c r="H10" i="35"/>
  <c r="G10" i="35"/>
  <c r="F10" i="35"/>
  <c r="F10" i="34" s="1"/>
  <c r="E10" i="35"/>
  <c r="E10" i="34" s="1"/>
  <c r="D10" i="35"/>
  <c r="C10" i="35"/>
  <c r="O10" i="35" s="1"/>
  <c r="N9" i="35"/>
  <c r="N9" i="34" s="1"/>
  <c r="M9" i="35"/>
  <c r="L9" i="35"/>
  <c r="K9" i="35"/>
  <c r="K9" i="34" s="1"/>
  <c r="J9" i="35"/>
  <c r="J9" i="34" s="1"/>
  <c r="I9" i="35"/>
  <c r="H9" i="35"/>
  <c r="G9" i="35"/>
  <c r="G9" i="34" s="1"/>
  <c r="F9" i="35"/>
  <c r="F9" i="34" s="1"/>
  <c r="E9" i="35"/>
  <c r="D9" i="35"/>
  <c r="C9" i="35"/>
  <c r="C9" i="34" s="1"/>
  <c r="N8" i="35"/>
  <c r="M8" i="35"/>
  <c r="M8" i="34" s="1"/>
  <c r="L8" i="35"/>
  <c r="L8" i="34" s="1"/>
  <c r="K8" i="35"/>
  <c r="K8" i="34" s="1"/>
  <c r="J8" i="35"/>
  <c r="I8" i="35"/>
  <c r="H8" i="35"/>
  <c r="H8" i="34" s="1"/>
  <c r="G8" i="35"/>
  <c r="G8" i="34" s="1"/>
  <c r="F8" i="35"/>
  <c r="E8" i="35"/>
  <c r="E8" i="34" s="1"/>
  <c r="D8" i="35"/>
  <c r="D8" i="34" s="1"/>
  <c r="C8" i="35"/>
  <c r="C8" i="34" s="1"/>
  <c r="N7" i="35"/>
  <c r="N27" i="35" s="1"/>
  <c r="M7" i="35"/>
  <c r="M7" i="34" s="1"/>
  <c r="L7" i="35"/>
  <c r="L7" i="34" s="1"/>
  <c r="K7" i="35"/>
  <c r="J7" i="35"/>
  <c r="J27" i="35" s="1"/>
  <c r="I7" i="35"/>
  <c r="I7" i="34" s="1"/>
  <c r="H7" i="35"/>
  <c r="H7" i="34" s="1"/>
  <c r="G7" i="35"/>
  <c r="G7" i="34" s="1"/>
  <c r="F7" i="35"/>
  <c r="F27" i="35" s="1"/>
  <c r="E7" i="35"/>
  <c r="E7" i="34" s="1"/>
  <c r="D7" i="35"/>
  <c r="D7" i="34" s="1"/>
  <c r="C7" i="35"/>
  <c r="O7" i="35" s="1"/>
  <c r="B27" i="34"/>
  <c r="L26" i="34"/>
  <c r="K26" i="34"/>
  <c r="H26" i="34"/>
  <c r="G26" i="34"/>
  <c r="D26" i="34"/>
  <c r="C26" i="34"/>
  <c r="M25" i="34"/>
  <c r="L25" i="34"/>
  <c r="I25" i="34"/>
  <c r="H25" i="34"/>
  <c r="E25" i="34"/>
  <c r="D25" i="34"/>
  <c r="N24" i="34"/>
  <c r="M24" i="34"/>
  <c r="J24" i="34"/>
  <c r="F24" i="34"/>
  <c r="E24" i="34"/>
  <c r="N23" i="34"/>
  <c r="K23" i="34"/>
  <c r="J23" i="34"/>
  <c r="G23" i="34"/>
  <c r="F23" i="34"/>
  <c r="C23" i="34"/>
  <c r="L22" i="34"/>
  <c r="K22" i="34"/>
  <c r="H22" i="34"/>
  <c r="G22" i="34"/>
  <c r="D22" i="34"/>
  <c r="C22" i="34"/>
  <c r="L21" i="34"/>
  <c r="I21" i="34"/>
  <c r="H21" i="34"/>
  <c r="D21" i="34"/>
  <c r="N20" i="34"/>
  <c r="M20" i="34"/>
  <c r="J20" i="34"/>
  <c r="F20" i="34"/>
  <c r="E20" i="34"/>
  <c r="N19" i="34"/>
  <c r="K19" i="34"/>
  <c r="J19" i="34"/>
  <c r="G19" i="34"/>
  <c r="F19" i="34"/>
  <c r="C19" i="34"/>
  <c r="L18" i="34"/>
  <c r="K18" i="34"/>
  <c r="H18" i="34"/>
  <c r="G18" i="34"/>
  <c r="D18" i="34"/>
  <c r="C18" i="34"/>
  <c r="M17" i="34"/>
  <c r="L17" i="34"/>
  <c r="I17" i="34"/>
  <c r="H17" i="34"/>
  <c r="E17" i="34"/>
  <c r="D17" i="34"/>
  <c r="N16" i="34"/>
  <c r="M16" i="34"/>
  <c r="J16" i="34"/>
  <c r="F16" i="34"/>
  <c r="E16" i="34"/>
  <c r="N15" i="34"/>
  <c r="K15" i="34"/>
  <c r="J15" i="34"/>
  <c r="G15" i="34"/>
  <c r="F15" i="34"/>
  <c r="C15" i="34"/>
  <c r="L14" i="34"/>
  <c r="K14" i="34"/>
  <c r="H14" i="34"/>
  <c r="G14" i="34"/>
  <c r="D14" i="34"/>
  <c r="C14" i="34"/>
  <c r="O14" i="34" s="1"/>
  <c r="M13" i="34"/>
  <c r="L13" i="34"/>
  <c r="H13" i="34"/>
  <c r="E13" i="34"/>
  <c r="D13" i="34"/>
  <c r="N12" i="34"/>
  <c r="M12" i="34"/>
  <c r="J12" i="34"/>
  <c r="F12" i="34"/>
  <c r="N11" i="34"/>
  <c r="K11" i="34"/>
  <c r="J11" i="34"/>
  <c r="F11" i="34"/>
  <c r="C11" i="34"/>
  <c r="L10" i="34"/>
  <c r="H10" i="34"/>
  <c r="G10" i="34"/>
  <c r="D10" i="34"/>
  <c r="M9" i="34"/>
  <c r="L9" i="34"/>
  <c r="I9" i="34"/>
  <c r="H9" i="34"/>
  <c r="E9" i="34"/>
  <c r="D9" i="34"/>
  <c r="N8" i="34"/>
  <c r="J8" i="34"/>
  <c r="J27" i="34" s="1"/>
  <c r="I8" i="34"/>
  <c r="F8" i="34"/>
  <c r="N7" i="34"/>
  <c r="K7" i="34"/>
  <c r="J7" i="34"/>
  <c r="F7" i="34"/>
  <c r="C7" i="34"/>
  <c r="O32" i="32"/>
  <c r="N26" i="32"/>
  <c r="M26" i="32"/>
  <c r="L26" i="32"/>
  <c r="K26" i="32"/>
  <c r="J26" i="32"/>
  <c r="I26" i="32"/>
  <c r="H26" i="32"/>
  <c r="G26" i="32"/>
  <c r="F26" i="32"/>
  <c r="E26" i="32"/>
  <c r="D26" i="32"/>
  <c r="C26" i="32"/>
  <c r="N25" i="32"/>
  <c r="M25" i="32"/>
  <c r="L25" i="32"/>
  <c r="K25" i="32"/>
  <c r="J25" i="32"/>
  <c r="I25" i="32"/>
  <c r="H25" i="32"/>
  <c r="G25" i="32"/>
  <c r="F25" i="32"/>
  <c r="E25" i="32"/>
  <c r="D25" i="32"/>
  <c r="C25" i="32"/>
  <c r="N24" i="32"/>
  <c r="M24" i="32"/>
  <c r="L24" i="32"/>
  <c r="K24" i="32"/>
  <c r="J24" i="32"/>
  <c r="I24" i="32"/>
  <c r="H24" i="32"/>
  <c r="G24" i="32"/>
  <c r="F24" i="32"/>
  <c r="E24" i="32"/>
  <c r="D24" i="32"/>
  <c r="C24" i="32"/>
  <c r="N23" i="32"/>
  <c r="M23" i="32"/>
  <c r="L23" i="32"/>
  <c r="K23" i="32"/>
  <c r="J23" i="32"/>
  <c r="I23" i="32"/>
  <c r="H23" i="32"/>
  <c r="G23" i="32"/>
  <c r="F23" i="32"/>
  <c r="E23" i="32"/>
  <c r="D23" i="32"/>
  <c r="C23" i="32"/>
  <c r="N22" i="32"/>
  <c r="M22" i="32"/>
  <c r="L22" i="32"/>
  <c r="K22" i="32"/>
  <c r="J22" i="32"/>
  <c r="I22" i="32"/>
  <c r="H22" i="32"/>
  <c r="G22" i="32"/>
  <c r="F22" i="32"/>
  <c r="E22" i="32"/>
  <c r="D22" i="32"/>
  <c r="C22" i="32"/>
  <c r="N21" i="32"/>
  <c r="M21" i="32"/>
  <c r="L21" i="32"/>
  <c r="K21" i="32"/>
  <c r="J21" i="32"/>
  <c r="I21" i="32"/>
  <c r="H21" i="32"/>
  <c r="G21" i="32"/>
  <c r="F21" i="32"/>
  <c r="E21" i="32"/>
  <c r="D21" i="32"/>
  <c r="C21" i="32"/>
  <c r="O21" i="32" s="1"/>
  <c r="N20" i="32"/>
  <c r="M20" i="32"/>
  <c r="L20" i="32"/>
  <c r="K20" i="32"/>
  <c r="J20" i="32"/>
  <c r="I20" i="32"/>
  <c r="H20" i="32"/>
  <c r="G20" i="32"/>
  <c r="F20" i="32"/>
  <c r="E20" i="32"/>
  <c r="D20" i="32"/>
  <c r="C20" i="32"/>
  <c r="O20" i="32" s="1"/>
  <c r="N19" i="32"/>
  <c r="M19" i="32"/>
  <c r="L19" i="32"/>
  <c r="K19" i="32"/>
  <c r="J19" i="32"/>
  <c r="I19" i="32"/>
  <c r="H19" i="32"/>
  <c r="G19" i="32"/>
  <c r="F19" i="32"/>
  <c r="E19" i="32"/>
  <c r="D19" i="32"/>
  <c r="C19" i="32"/>
  <c r="O19" i="32" s="1"/>
  <c r="N18" i="32"/>
  <c r="M18" i="32"/>
  <c r="L18" i="32"/>
  <c r="K18" i="32"/>
  <c r="J18" i="32"/>
  <c r="I18" i="32"/>
  <c r="H18" i="32"/>
  <c r="G18" i="32"/>
  <c r="F18" i="32"/>
  <c r="E18" i="32"/>
  <c r="D18" i="32"/>
  <c r="C18" i="32"/>
  <c r="O18" i="32" s="1"/>
  <c r="N17" i="32"/>
  <c r="M17" i="32"/>
  <c r="L17" i="32"/>
  <c r="K17" i="32"/>
  <c r="J17" i="32"/>
  <c r="I17" i="32"/>
  <c r="H17" i="32"/>
  <c r="G17" i="32"/>
  <c r="F17" i="32"/>
  <c r="E17" i="32"/>
  <c r="D17" i="32"/>
  <c r="C17" i="32"/>
  <c r="O17" i="32" s="1"/>
  <c r="N16" i="32"/>
  <c r="M16" i="32"/>
  <c r="L16" i="32"/>
  <c r="K16" i="32"/>
  <c r="J16" i="32"/>
  <c r="I16" i="32"/>
  <c r="H16" i="32"/>
  <c r="G16" i="32"/>
  <c r="F16" i="32"/>
  <c r="E16" i="32"/>
  <c r="D16" i="32"/>
  <c r="C16" i="32"/>
  <c r="O16" i="32" s="1"/>
  <c r="N15" i="32"/>
  <c r="M15" i="32"/>
  <c r="L15" i="32"/>
  <c r="K15" i="32"/>
  <c r="J15" i="32"/>
  <c r="I15" i="32"/>
  <c r="H15" i="32"/>
  <c r="G15" i="32"/>
  <c r="F15" i="32"/>
  <c r="E15" i="32"/>
  <c r="D15" i="32"/>
  <c r="C15" i="32"/>
  <c r="O15" i="32" s="1"/>
  <c r="N14" i="32"/>
  <c r="M14" i="32"/>
  <c r="L14" i="32"/>
  <c r="K14" i="32"/>
  <c r="J14" i="32"/>
  <c r="I14" i="32"/>
  <c r="H14" i="32"/>
  <c r="G14" i="32"/>
  <c r="F14" i="32"/>
  <c r="E14" i="32"/>
  <c r="D14" i="32"/>
  <c r="C14" i="32"/>
  <c r="O14" i="32" s="1"/>
  <c r="N13" i="32"/>
  <c r="M13" i="32"/>
  <c r="L13" i="32"/>
  <c r="K13" i="32"/>
  <c r="J13" i="32"/>
  <c r="I13" i="32"/>
  <c r="H13" i="32"/>
  <c r="G13" i="32"/>
  <c r="F13" i="32"/>
  <c r="E13" i="32"/>
  <c r="D13" i="32"/>
  <c r="C13" i="32"/>
  <c r="O13" i="32" s="1"/>
  <c r="N12" i="32"/>
  <c r="M12" i="32"/>
  <c r="L12" i="32"/>
  <c r="K12" i="32"/>
  <c r="J12" i="32"/>
  <c r="I12" i="32"/>
  <c r="H12" i="32"/>
  <c r="G12" i="32"/>
  <c r="F12" i="32"/>
  <c r="E12" i="32"/>
  <c r="D12" i="32"/>
  <c r="C12" i="32"/>
  <c r="O12" i="32" s="1"/>
  <c r="N11" i="32"/>
  <c r="M11" i="32"/>
  <c r="L11" i="32"/>
  <c r="K11" i="32"/>
  <c r="J11" i="32"/>
  <c r="I11" i="32"/>
  <c r="H11" i="32"/>
  <c r="G11" i="32"/>
  <c r="F11" i="32"/>
  <c r="E11" i="32"/>
  <c r="D11" i="32"/>
  <c r="C11" i="32"/>
  <c r="O11" i="32" s="1"/>
  <c r="N10" i="32"/>
  <c r="M10" i="32"/>
  <c r="L10" i="32"/>
  <c r="K10" i="32"/>
  <c r="J10" i="32"/>
  <c r="I10" i="32"/>
  <c r="H10" i="32"/>
  <c r="G10" i="32"/>
  <c r="F10" i="32"/>
  <c r="E10" i="32"/>
  <c r="D10" i="32"/>
  <c r="C10" i="32"/>
  <c r="O10" i="32" s="1"/>
  <c r="N9" i="32"/>
  <c r="M9" i="32"/>
  <c r="L9" i="32"/>
  <c r="K9" i="32"/>
  <c r="J9" i="32"/>
  <c r="I9" i="32"/>
  <c r="H9" i="32"/>
  <c r="G9" i="32"/>
  <c r="F9" i="32"/>
  <c r="E9" i="32"/>
  <c r="D9" i="32"/>
  <c r="C9" i="32"/>
  <c r="O9" i="32" s="1"/>
  <c r="N8" i="32"/>
  <c r="M8" i="32"/>
  <c r="L8" i="32"/>
  <c r="K8" i="32"/>
  <c r="J8" i="32"/>
  <c r="I8" i="32"/>
  <c r="H8" i="32"/>
  <c r="G8" i="32"/>
  <c r="F8" i="32"/>
  <c r="E8" i="32"/>
  <c r="D8" i="32"/>
  <c r="C8" i="32"/>
  <c r="O8" i="32" s="1"/>
  <c r="B7" i="32"/>
  <c r="M7" i="32" s="1"/>
  <c r="M27" i="32" s="1"/>
  <c r="F27" i="34" l="1"/>
  <c r="N27" i="34"/>
  <c r="O22" i="34"/>
  <c r="E27" i="34"/>
  <c r="I27" i="34"/>
  <c r="M27" i="34"/>
  <c r="O22" i="32"/>
  <c r="O23" i="32"/>
  <c r="O24" i="32"/>
  <c r="O25" i="32"/>
  <c r="O26" i="32"/>
  <c r="O18" i="34"/>
  <c r="O8" i="34"/>
  <c r="O9" i="34"/>
  <c r="C10" i="34"/>
  <c r="O10" i="34" s="1"/>
  <c r="O26" i="34"/>
  <c r="D27" i="34"/>
  <c r="H27" i="34"/>
  <c r="L27" i="34"/>
  <c r="O13" i="34"/>
  <c r="O14" i="35"/>
  <c r="O15" i="35"/>
  <c r="O16" i="34"/>
  <c r="O17" i="34"/>
  <c r="O18" i="35"/>
  <c r="O19" i="35"/>
  <c r="O21" i="34"/>
  <c r="O22" i="35"/>
  <c r="O23" i="35"/>
  <c r="O24" i="34"/>
  <c r="O25" i="34"/>
  <c r="O26" i="35"/>
  <c r="E32" i="36"/>
  <c r="I32" i="36"/>
  <c r="M32" i="36"/>
  <c r="D29" i="45"/>
  <c r="H29" i="45"/>
  <c r="L29" i="45"/>
  <c r="F33" i="45"/>
  <c r="E32" i="48"/>
  <c r="E33" i="48"/>
  <c r="I33" i="48"/>
  <c r="I32" i="48"/>
  <c r="M32" i="48"/>
  <c r="M33" i="48"/>
  <c r="F32" i="36"/>
  <c r="E29" i="45"/>
  <c r="I29" i="45"/>
  <c r="M29" i="45"/>
  <c r="J33" i="45"/>
  <c r="F32" i="48"/>
  <c r="F33" i="48"/>
  <c r="J32" i="48"/>
  <c r="J33" i="48"/>
  <c r="N32" i="48"/>
  <c r="N33" i="48"/>
  <c r="G32" i="48"/>
  <c r="G33" i="48"/>
  <c r="K33" i="48"/>
  <c r="K32" i="48"/>
  <c r="O23" i="34"/>
  <c r="D32" i="36"/>
  <c r="L32" i="36"/>
  <c r="G29" i="45"/>
  <c r="K29" i="45"/>
  <c r="D32" i="48"/>
  <c r="D33" i="48"/>
  <c r="H32" i="48"/>
  <c r="H33" i="48"/>
  <c r="L32" i="48"/>
  <c r="L33" i="48"/>
  <c r="F27" i="44"/>
  <c r="F6" i="43"/>
  <c r="F25" i="43" s="1"/>
  <c r="F27" i="43" s="1"/>
  <c r="O9" i="44"/>
  <c r="O11" i="44"/>
  <c r="O13" i="44"/>
  <c r="O14" i="44"/>
  <c r="O15" i="44"/>
  <c r="O17" i="44"/>
  <c r="O21" i="44"/>
  <c r="O22" i="44"/>
  <c r="O23" i="44"/>
  <c r="O25" i="44"/>
  <c r="D27" i="44"/>
  <c r="D29" i="44" s="1"/>
  <c r="H27" i="44"/>
  <c r="H29" i="44" s="1"/>
  <c r="L27" i="44"/>
  <c r="L29" i="44" s="1"/>
  <c r="D6" i="43"/>
  <c r="D25" i="43" s="1"/>
  <c r="D27" i="43" s="1"/>
  <c r="H6" i="43"/>
  <c r="H25" i="43" s="1"/>
  <c r="H27" i="43" s="1"/>
  <c r="L6" i="43"/>
  <c r="L25" i="43" s="1"/>
  <c r="L27" i="43" s="1"/>
  <c r="F29" i="44"/>
  <c r="O19" i="43"/>
  <c r="O20" i="43"/>
  <c r="O23" i="43"/>
  <c r="O15" i="43"/>
  <c r="O21" i="43"/>
  <c r="O7" i="43"/>
  <c r="O9" i="43"/>
  <c r="O11" i="43"/>
  <c r="O12" i="43"/>
  <c r="O27" i="45"/>
  <c r="C29" i="45"/>
  <c r="G7" i="32"/>
  <c r="G27" i="32" s="1"/>
  <c r="K7" i="32"/>
  <c r="K27" i="32" s="1"/>
  <c r="G16" i="47"/>
  <c r="J18" i="47"/>
  <c r="C7" i="32"/>
  <c r="C27" i="32" s="1"/>
  <c r="I15" i="47"/>
  <c r="E19" i="47"/>
  <c r="B27" i="32"/>
  <c r="E7" i="47"/>
  <c r="E9" i="47"/>
  <c r="E11" i="47"/>
  <c r="E15" i="47"/>
  <c r="H18" i="47"/>
  <c r="L19" i="47"/>
  <c r="F21" i="47"/>
  <c r="I23" i="47"/>
  <c r="K24" i="47"/>
  <c r="D26" i="47"/>
  <c r="I7" i="47"/>
  <c r="G8" i="47"/>
  <c r="I9" i="47"/>
  <c r="G10" i="47"/>
  <c r="I11" i="47"/>
  <c r="G14" i="47"/>
  <c r="I21" i="47"/>
  <c r="N23" i="47"/>
  <c r="J26" i="47"/>
  <c r="M7" i="47"/>
  <c r="K8" i="47"/>
  <c r="M9" i="47"/>
  <c r="K10" i="47"/>
  <c r="M11" i="47"/>
  <c r="K14" i="47"/>
  <c r="M15" i="47"/>
  <c r="K16" i="47"/>
  <c r="D18" i="47"/>
  <c r="K18" i="47"/>
  <c r="F19" i="47"/>
  <c r="D21" i="47"/>
  <c r="J21" i="47"/>
  <c r="F18" i="47"/>
  <c r="E21" i="47"/>
  <c r="N21" i="47"/>
  <c r="F24" i="47"/>
  <c r="O12" i="34"/>
  <c r="C27" i="34"/>
  <c r="K27" i="34"/>
  <c r="O11" i="34"/>
  <c r="O15" i="34"/>
  <c r="O19" i="34"/>
  <c r="G27" i="34"/>
  <c r="N25" i="43"/>
  <c r="N27" i="43" s="1"/>
  <c r="O20" i="34"/>
  <c r="O13" i="35"/>
  <c r="F7" i="32"/>
  <c r="F27" i="32" s="1"/>
  <c r="J7" i="32"/>
  <c r="J27" i="32" s="1"/>
  <c r="N7" i="32"/>
  <c r="N27" i="32" s="1"/>
  <c r="O8" i="35"/>
  <c r="O12" i="35"/>
  <c r="O16" i="35"/>
  <c r="O20" i="35"/>
  <c r="O24" i="35"/>
  <c r="C27" i="35"/>
  <c r="G27" i="35"/>
  <c r="K27" i="35"/>
  <c r="C27" i="44"/>
  <c r="G27" i="44"/>
  <c r="G29" i="44" s="1"/>
  <c r="K27" i="44"/>
  <c r="K29" i="44" s="1"/>
  <c r="O7" i="44"/>
  <c r="J27" i="44"/>
  <c r="J29" i="44" s="1"/>
  <c r="O7" i="34"/>
  <c r="O21" i="35"/>
  <c r="O25" i="35"/>
  <c r="H27" i="35"/>
  <c r="K25" i="43"/>
  <c r="K27" i="43" s="1"/>
  <c r="J25" i="43"/>
  <c r="J27" i="43" s="1"/>
  <c r="N27" i="44"/>
  <c r="N29" i="44" s="1"/>
  <c r="H7" i="32"/>
  <c r="H27" i="32" s="1"/>
  <c r="E27" i="35"/>
  <c r="I27" i="35"/>
  <c r="M27" i="35"/>
  <c r="C13" i="43"/>
  <c r="O13" i="43" s="1"/>
  <c r="O19" i="44"/>
  <c r="O9" i="35"/>
  <c r="O17" i="35"/>
  <c r="D27" i="35"/>
  <c r="L27" i="35"/>
  <c r="G25" i="43"/>
  <c r="G27" i="43" s="1"/>
  <c r="O5" i="43"/>
  <c r="D7" i="32"/>
  <c r="D27" i="32" s="1"/>
  <c r="L7" i="32"/>
  <c r="L27" i="32" s="1"/>
  <c r="E7" i="32"/>
  <c r="E27" i="32" s="1"/>
  <c r="I7" i="32"/>
  <c r="I27" i="32" s="1"/>
  <c r="C32" i="36"/>
  <c r="G32" i="36"/>
  <c r="K32" i="36"/>
  <c r="O31" i="36"/>
  <c r="O32" i="36" s="1"/>
  <c r="O27" i="39"/>
  <c r="O32" i="38" s="1"/>
  <c r="O17" i="43"/>
  <c r="O10" i="43"/>
  <c r="O18" i="43"/>
  <c r="O12" i="44"/>
  <c r="O20" i="44"/>
  <c r="O30" i="48"/>
  <c r="O31" i="48" s="1"/>
  <c r="O27" i="42"/>
  <c r="O31" i="42" s="1"/>
  <c r="O14" i="43"/>
  <c r="O22" i="43"/>
  <c r="O26" i="43"/>
  <c r="O8" i="44"/>
  <c r="O16" i="44"/>
  <c r="O24" i="44"/>
  <c r="C29" i="44"/>
  <c r="O28" i="44"/>
  <c r="E25" i="43"/>
  <c r="E27" i="43" s="1"/>
  <c r="I25" i="43"/>
  <c r="I27" i="43" s="1"/>
  <c r="M25" i="43"/>
  <c r="M27" i="43" s="1"/>
  <c r="O8" i="43"/>
  <c r="O16" i="43"/>
  <c r="O24" i="43"/>
  <c r="E27" i="44"/>
  <c r="E29" i="44" s="1"/>
  <c r="I27" i="44"/>
  <c r="I29" i="44" s="1"/>
  <c r="M27" i="44"/>
  <c r="M29" i="44" s="1"/>
  <c r="O10" i="44"/>
  <c r="O18" i="44"/>
  <c r="O26" i="44"/>
  <c r="N33" i="45"/>
  <c r="O33" i="45" s="1"/>
  <c r="O28" i="45"/>
  <c r="O29" i="45" s="1"/>
  <c r="D7" i="47"/>
  <c r="H7" i="47"/>
  <c r="L7" i="47"/>
  <c r="F8" i="47"/>
  <c r="J8" i="47"/>
  <c r="N8" i="47"/>
  <c r="D9" i="47"/>
  <c r="H9" i="47"/>
  <c r="L9" i="47"/>
  <c r="F10" i="47"/>
  <c r="J10" i="47"/>
  <c r="N10" i="47"/>
  <c r="D11" i="47"/>
  <c r="H11" i="47"/>
  <c r="L11" i="47"/>
  <c r="F14" i="47"/>
  <c r="J14" i="47"/>
  <c r="N14" i="47"/>
  <c r="D15" i="47"/>
  <c r="H15" i="47"/>
  <c r="L15" i="47"/>
  <c r="F16" i="47"/>
  <c r="J16" i="47"/>
  <c r="N16" i="47"/>
  <c r="K23" i="47"/>
  <c r="G23" i="47"/>
  <c r="H23" i="47"/>
  <c r="M23" i="47"/>
  <c r="D24" i="47"/>
  <c r="H26" i="47"/>
  <c r="N26" i="47"/>
  <c r="C33" i="48"/>
  <c r="C32" i="48"/>
  <c r="F7" i="47"/>
  <c r="J7" i="47"/>
  <c r="N7" i="47"/>
  <c r="D8" i="47"/>
  <c r="H8" i="47"/>
  <c r="L8" i="47"/>
  <c r="F9" i="47"/>
  <c r="J9" i="47"/>
  <c r="N9" i="47"/>
  <c r="D10" i="47"/>
  <c r="H10" i="47"/>
  <c r="L10" i="47"/>
  <c r="F11" i="47"/>
  <c r="J11" i="47"/>
  <c r="N11" i="47"/>
  <c r="D14" i="47"/>
  <c r="H14" i="47"/>
  <c r="L14" i="47"/>
  <c r="F15" i="47"/>
  <c r="J15" i="47"/>
  <c r="N15" i="47"/>
  <c r="D16" i="47"/>
  <c r="H16" i="47"/>
  <c r="L16" i="47"/>
  <c r="K19" i="47"/>
  <c r="G19" i="47"/>
  <c r="H19" i="47"/>
  <c r="M19" i="47"/>
  <c r="E23" i="47"/>
  <c r="J23" i="47"/>
  <c r="M24" i="47"/>
  <c r="I24" i="47"/>
  <c r="E24" i="47"/>
  <c r="G24" i="47"/>
  <c r="L24" i="47"/>
  <c r="F26" i="47"/>
  <c r="O30" i="51"/>
  <c r="C7" i="47"/>
  <c r="G7" i="47"/>
  <c r="E8" i="47"/>
  <c r="I8" i="47"/>
  <c r="G9" i="47"/>
  <c r="E10" i="47"/>
  <c r="I10" i="47"/>
  <c r="G11" i="47"/>
  <c r="E14" i="47"/>
  <c r="I14" i="47"/>
  <c r="G15" i="47"/>
  <c r="E16" i="47"/>
  <c r="I16" i="47"/>
  <c r="M18" i="47"/>
  <c r="I18" i="47"/>
  <c r="E18" i="47"/>
  <c r="G18" i="47"/>
  <c r="L18" i="47"/>
  <c r="D19" i="47"/>
  <c r="I19" i="47"/>
  <c r="N19" i="47"/>
  <c r="K21" i="47"/>
  <c r="G21" i="47"/>
  <c r="H21" i="47"/>
  <c r="M21" i="47"/>
  <c r="F23" i="47"/>
  <c r="L23" i="47"/>
  <c r="H24" i="47"/>
  <c r="N24" i="47"/>
  <c r="M26" i="47"/>
  <c r="I26" i="47"/>
  <c r="E26" i="47"/>
  <c r="G26" i="47"/>
  <c r="L26" i="47"/>
  <c r="O31" i="51"/>
  <c r="O27" i="52"/>
  <c r="O6" i="43" l="1"/>
  <c r="O16" i="47"/>
  <c r="O8" i="47"/>
  <c r="O27" i="32"/>
  <c r="O34" i="32" s="1"/>
  <c r="O26" i="47"/>
  <c r="C25" i="43"/>
  <c r="C27" i="43" s="1"/>
  <c r="O19" i="47"/>
  <c r="O18" i="47"/>
  <c r="O15" i="47"/>
  <c r="O11" i="47"/>
  <c r="O9" i="47"/>
  <c r="O7" i="47"/>
  <c r="O14" i="47"/>
  <c r="O10" i="47"/>
  <c r="O25" i="43"/>
  <c r="O27" i="43" s="1"/>
  <c r="O24" i="47"/>
  <c r="O32" i="51"/>
  <c r="O33" i="48"/>
  <c r="O32" i="48"/>
  <c r="O7" i="32"/>
  <c r="O27" i="44"/>
  <c r="O29" i="44" s="1"/>
  <c r="O27" i="34"/>
  <c r="O21" i="47"/>
  <c r="O23" i="47"/>
  <c r="O25" i="33"/>
  <c r="O27" i="35"/>
  <c r="L40" i="15"/>
  <c r="K41" i="15" l="1"/>
  <c r="I41" i="15"/>
  <c r="K44" i="15" l="1"/>
  <c r="K46" i="15" s="1"/>
  <c r="K31" i="22" l="1"/>
  <c r="D31" i="22"/>
  <c r="C31" i="22"/>
  <c r="K64" i="15" l="1"/>
  <c r="K66" i="15" s="1"/>
  <c r="K59" i="15"/>
  <c r="K54" i="15"/>
  <c r="K49" i="15"/>
  <c r="O43" i="15"/>
  <c r="K34" i="15"/>
  <c r="N27" i="21" l="1"/>
  <c r="N34" i="21" s="1"/>
  <c r="M27" i="21"/>
  <c r="M34" i="21" s="1"/>
  <c r="L27" i="21"/>
  <c r="L34" i="21" s="1"/>
  <c r="K27" i="21"/>
  <c r="K34" i="21" s="1"/>
  <c r="J27" i="21"/>
  <c r="J34" i="21" s="1"/>
  <c r="I27" i="21"/>
  <c r="I34" i="21" s="1"/>
  <c r="H27" i="21"/>
  <c r="H34" i="21" s="1"/>
  <c r="G27" i="21"/>
  <c r="G34" i="21" s="1"/>
  <c r="F27" i="21"/>
  <c r="F34" i="21" s="1"/>
  <c r="E27" i="21"/>
  <c r="E34" i="21" s="1"/>
  <c r="D27" i="21"/>
  <c r="D34" i="21" s="1"/>
  <c r="C27" i="21"/>
  <c r="C34" i="21" s="1"/>
  <c r="B27" i="21"/>
  <c r="O26" i="21"/>
  <c r="O25" i="21"/>
  <c r="O24" i="21"/>
  <c r="O23" i="21"/>
  <c r="O22" i="21"/>
  <c r="O21" i="21"/>
  <c r="O20" i="21"/>
  <c r="O19" i="21"/>
  <c r="O18" i="21"/>
  <c r="O17" i="21"/>
  <c r="O16" i="21"/>
  <c r="O15" i="21"/>
  <c r="O14" i="21"/>
  <c r="O13" i="21"/>
  <c r="O12" i="21"/>
  <c r="O11" i="21"/>
  <c r="O10" i="21"/>
  <c r="O9" i="21"/>
  <c r="O8" i="21"/>
  <c r="O7" i="21"/>
  <c r="O27" i="21" s="1"/>
  <c r="Z10" i="3" l="1"/>
  <c r="Z11" i="3"/>
  <c r="Z12" i="3"/>
  <c r="Z13" i="3"/>
  <c r="Z14" i="3"/>
  <c r="Z15" i="3"/>
  <c r="Z16" i="3"/>
  <c r="Z17" i="3"/>
  <c r="Z18" i="3"/>
  <c r="Z19" i="3"/>
  <c r="Z20" i="3"/>
  <c r="Z21" i="3"/>
  <c r="Z22" i="3"/>
  <c r="Z23" i="3"/>
  <c r="Z24" i="3"/>
  <c r="Z25" i="3"/>
  <c r="Z26" i="3"/>
  <c r="Z27" i="3"/>
  <c r="Z28" i="3"/>
  <c r="Z9" i="3"/>
  <c r="D29" i="8"/>
  <c r="D11" i="8" s="1"/>
  <c r="C28" i="4"/>
  <c r="C11" i="4" s="1"/>
  <c r="D30" i="20"/>
  <c r="D11" i="20" s="1"/>
  <c r="C30" i="20"/>
  <c r="I29" i="14"/>
  <c r="F29" i="14"/>
  <c r="D29" i="14"/>
  <c r="I29" i="13"/>
  <c r="F29" i="13"/>
  <c r="D29" i="13"/>
  <c r="D20" i="8" l="1"/>
  <c r="D28" i="8"/>
  <c r="D12" i="8"/>
  <c r="D24" i="8"/>
  <c r="D16" i="8"/>
  <c r="D26" i="8"/>
  <c r="D22" i="8"/>
  <c r="D18" i="8"/>
  <c r="D14" i="8"/>
  <c r="D10" i="8"/>
  <c r="D9" i="8"/>
  <c r="D25" i="8"/>
  <c r="D21" i="8"/>
  <c r="D17" i="8"/>
  <c r="D13" i="8"/>
  <c r="D27" i="8"/>
  <c r="D23" i="8"/>
  <c r="D19" i="8"/>
  <c r="D15" i="8"/>
  <c r="C18" i="4"/>
  <c r="C14" i="4"/>
  <c r="C22" i="4"/>
  <c r="C26" i="4"/>
  <c r="C10" i="4"/>
  <c r="D24" i="20"/>
  <c r="D16" i="20"/>
  <c r="D28" i="20"/>
  <c r="D12" i="20"/>
  <c r="D20" i="20"/>
  <c r="D10" i="20"/>
  <c r="D26" i="20"/>
  <c r="D22" i="20"/>
  <c r="D18" i="20"/>
  <c r="D14" i="20"/>
  <c r="D29" i="20"/>
  <c r="D25" i="20"/>
  <c r="D21" i="20"/>
  <c r="D17" i="20"/>
  <c r="D13" i="20"/>
  <c r="D27" i="20"/>
  <c r="D23" i="20"/>
  <c r="D19" i="20"/>
  <c r="D15" i="20"/>
  <c r="C25" i="4"/>
  <c r="C21" i="4"/>
  <c r="C17" i="4"/>
  <c r="C13" i="4"/>
  <c r="C9" i="4"/>
  <c r="C8" i="4"/>
  <c r="C24" i="4"/>
  <c r="C20" i="4"/>
  <c r="C16" i="4"/>
  <c r="C12" i="4"/>
  <c r="C27" i="4"/>
  <c r="C23" i="4"/>
  <c r="C19" i="4"/>
  <c r="C15" i="4"/>
  <c r="L64" i="15" l="1"/>
  <c r="M27" i="5" l="1"/>
  <c r="M24" i="5"/>
  <c r="M19" i="5"/>
  <c r="M15" i="5"/>
  <c r="M14" i="5"/>
  <c r="C87" i="19"/>
  <c r="D86" i="19"/>
  <c r="D85" i="19"/>
  <c r="D84" i="19"/>
  <c r="D83" i="19"/>
  <c r="D82" i="19"/>
  <c r="D81" i="19"/>
  <c r="D80" i="19"/>
  <c r="D79" i="19"/>
  <c r="D78" i="19"/>
  <c r="D77" i="19"/>
  <c r="D76" i="19"/>
  <c r="D75" i="19"/>
  <c r="D74" i="19"/>
  <c r="D73" i="19"/>
  <c r="D72" i="19"/>
  <c r="D71" i="19"/>
  <c r="D70" i="19"/>
  <c r="D69" i="19"/>
  <c r="D68" i="19"/>
  <c r="D67" i="19"/>
  <c r="D57" i="19"/>
  <c r="C57" i="19"/>
  <c r="I32" i="19"/>
  <c r="E29" i="19"/>
  <c r="J56" i="18"/>
  <c r="I56" i="18"/>
  <c r="G56" i="18"/>
  <c r="F56" i="18"/>
  <c r="C26" i="18"/>
  <c r="C24" i="18"/>
  <c r="C23" i="18"/>
  <c r="C22" i="18"/>
  <c r="C21" i="18"/>
  <c r="C20" i="18"/>
  <c r="C19" i="18"/>
  <c r="C18" i="18"/>
  <c r="C17" i="18"/>
  <c r="C16" i="18"/>
  <c r="C15" i="18"/>
  <c r="C14" i="18"/>
  <c r="C12" i="18"/>
  <c r="C11" i="18"/>
  <c r="C10" i="18"/>
  <c r="C9" i="18"/>
  <c r="C28" i="18"/>
  <c r="C13" i="18"/>
  <c r="C25" i="18" l="1"/>
  <c r="C27" i="18"/>
  <c r="C29" i="18" s="1"/>
  <c r="E10" i="18" s="1"/>
  <c r="K56" i="18"/>
  <c r="H56" i="18"/>
  <c r="D87" i="19"/>
  <c r="E28" i="18" l="1"/>
  <c r="F28" i="18" s="1"/>
  <c r="E17" i="18"/>
  <c r="F17" i="18" s="1"/>
  <c r="E26" i="18"/>
  <c r="F26" i="18" s="1"/>
  <c r="E27" i="18"/>
  <c r="F27" i="18" s="1"/>
  <c r="E20" i="18"/>
  <c r="F20" i="18" s="1"/>
  <c r="E22" i="18"/>
  <c r="F22" i="18" s="1"/>
  <c r="E24" i="18"/>
  <c r="F24" i="18" s="1"/>
  <c r="E21" i="18"/>
  <c r="F21" i="18" s="1"/>
  <c r="E16" i="18"/>
  <c r="F16" i="18" s="1"/>
  <c r="E23" i="18"/>
  <c r="F23" i="18" s="1"/>
  <c r="E15" i="18"/>
  <c r="F15" i="18" s="1"/>
  <c r="E25" i="18"/>
  <c r="F25" i="18" s="1"/>
  <c r="E13" i="18"/>
  <c r="F13" i="18" s="1"/>
  <c r="E11" i="18"/>
  <c r="F11" i="18" s="1"/>
  <c r="E18" i="18"/>
  <c r="F18" i="18" s="1"/>
  <c r="E14" i="18"/>
  <c r="F14" i="18" s="1"/>
  <c r="E19" i="18"/>
  <c r="F19" i="18" s="1"/>
  <c r="E9" i="18"/>
  <c r="F9" i="18" s="1"/>
  <c r="E12" i="18"/>
  <c r="F12" i="18" s="1"/>
  <c r="C11" i="19"/>
  <c r="C25" i="19"/>
  <c r="C15" i="19"/>
  <c r="C23" i="19"/>
  <c r="C17" i="19"/>
  <c r="C24" i="19"/>
  <c r="C19" i="19"/>
  <c r="C13" i="19"/>
  <c r="C18" i="19"/>
  <c r="C22" i="19"/>
  <c r="C21" i="19"/>
  <c r="C12" i="19"/>
  <c r="C14" i="19"/>
  <c r="C10" i="19"/>
  <c r="F10" i="18"/>
  <c r="C28" i="19"/>
  <c r="C27" i="19"/>
  <c r="C20" i="19"/>
  <c r="C26" i="19"/>
  <c r="E29" i="18" l="1"/>
  <c r="F29" i="18"/>
  <c r="C16" i="19"/>
  <c r="C9" i="19"/>
  <c r="C29" i="19" s="1"/>
  <c r="F28" i="5" l="1"/>
  <c r="F27" i="5"/>
  <c r="F26" i="5"/>
  <c r="F25" i="5"/>
  <c r="F24" i="5"/>
  <c r="F23" i="5"/>
  <c r="F22" i="5"/>
  <c r="F21" i="5"/>
  <c r="F20" i="5"/>
  <c r="F19" i="5"/>
  <c r="F18" i="5"/>
  <c r="F17" i="5"/>
  <c r="F16" i="5"/>
  <c r="F15" i="5"/>
  <c r="F14" i="5"/>
  <c r="F13" i="5"/>
  <c r="F12" i="5"/>
  <c r="F11" i="5"/>
  <c r="F10" i="5"/>
  <c r="F9" i="5"/>
  <c r="D9" i="4"/>
  <c r="D10" i="4"/>
  <c r="D11" i="4"/>
  <c r="D12" i="4"/>
  <c r="D13" i="4"/>
  <c r="D14" i="4"/>
  <c r="D15" i="4"/>
  <c r="D16" i="4"/>
  <c r="D17" i="4"/>
  <c r="D18" i="4"/>
  <c r="D19" i="4"/>
  <c r="D20" i="4"/>
  <c r="D21" i="4"/>
  <c r="D22" i="4"/>
  <c r="D23" i="4"/>
  <c r="D24" i="4"/>
  <c r="D25" i="4"/>
  <c r="D26" i="4"/>
  <c r="D27" i="4"/>
  <c r="D8" i="4"/>
  <c r="O94" i="15"/>
  <c r="N94" i="15"/>
  <c r="N100" i="15" s="1"/>
  <c r="L94" i="15"/>
  <c r="K94" i="15"/>
  <c r="H94" i="15"/>
  <c r="G94" i="15"/>
  <c r="E94" i="15"/>
  <c r="D94" i="15"/>
  <c r="F94" i="15" s="1"/>
  <c r="P93" i="15"/>
  <c r="M93" i="15"/>
  <c r="I93" i="15"/>
  <c r="F93" i="15"/>
  <c r="P92" i="15"/>
  <c r="M92" i="15"/>
  <c r="I92" i="15"/>
  <c r="F92" i="15"/>
  <c r="P91" i="15"/>
  <c r="M91" i="15"/>
  <c r="I91" i="15"/>
  <c r="F91" i="15"/>
  <c r="P90" i="15"/>
  <c r="M90" i="15"/>
  <c r="I90" i="15"/>
  <c r="F90" i="15"/>
  <c r="P89" i="15"/>
  <c r="M89" i="15"/>
  <c r="I89" i="15"/>
  <c r="F89" i="15"/>
  <c r="P88" i="15"/>
  <c r="M88" i="15"/>
  <c r="I88" i="15"/>
  <c r="F88" i="15"/>
  <c r="P87" i="15"/>
  <c r="M87" i="15"/>
  <c r="I87" i="15"/>
  <c r="F87" i="15"/>
  <c r="P86" i="15"/>
  <c r="M86" i="15"/>
  <c r="I86" i="15"/>
  <c r="F86" i="15"/>
  <c r="P85" i="15"/>
  <c r="M85" i="15"/>
  <c r="I85" i="15"/>
  <c r="F85" i="15"/>
  <c r="P84" i="15"/>
  <c r="M84" i="15"/>
  <c r="I84" i="15"/>
  <c r="F84" i="15"/>
  <c r="P83" i="15"/>
  <c r="M83" i="15"/>
  <c r="I83" i="15"/>
  <c r="F83" i="15"/>
  <c r="P82" i="15"/>
  <c r="M82" i="15"/>
  <c r="I82" i="15"/>
  <c r="F82" i="15"/>
  <c r="P81" i="15"/>
  <c r="M81" i="15"/>
  <c r="I81" i="15"/>
  <c r="F81" i="15"/>
  <c r="P80" i="15"/>
  <c r="M80" i="15"/>
  <c r="I80" i="15"/>
  <c r="F80" i="15"/>
  <c r="P79" i="15"/>
  <c r="M79" i="15"/>
  <c r="I79" i="15"/>
  <c r="F79" i="15"/>
  <c r="P78" i="15"/>
  <c r="M78" i="15"/>
  <c r="I78" i="15"/>
  <c r="F78" i="15"/>
  <c r="P77" i="15"/>
  <c r="M77" i="15"/>
  <c r="I77" i="15"/>
  <c r="F77" i="15"/>
  <c r="P76" i="15"/>
  <c r="M76" i="15"/>
  <c r="I76" i="15"/>
  <c r="F76" i="15"/>
  <c r="P75" i="15"/>
  <c r="M75" i="15"/>
  <c r="I75" i="15"/>
  <c r="F75" i="15"/>
  <c r="P74" i="15"/>
  <c r="M74" i="15"/>
  <c r="I74" i="15"/>
  <c r="F74" i="15"/>
  <c r="K61" i="15"/>
  <c r="L61" i="15" s="1"/>
  <c r="L60" i="15"/>
  <c r="L59" i="15"/>
  <c r="K56" i="15"/>
  <c r="L56" i="15" s="1"/>
  <c r="L55" i="15"/>
  <c r="L54" i="15"/>
  <c r="K51" i="15"/>
  <c r="F30" i="20" s="1"/>
  <c r="F29" i="20" s="1"/>
  <c r="L50" i="15"/>
  <c r="L49" i="15"/>
  <c r="K36" i="15"/>
  <c r="L35" i="15"/>
  <c r="L34" i="15"/>
  <c r="K24" i="15"/>
  <c r="I13" i="15"/>
  <c r="K11" i="15"/>
  <c r="R74" i="15" l="1"/>
  <c r="R76" i="15"/>
  <c r="R82" i="15"/>
  <c r="R84" i="15"/>
  <c r="R90" i="15"/>
  <c r="R92" i="15"/>
  <c r="J75" i="15"/>
  <c r="J78" i="15"/>
  <c r="J80" i="15"/>
  <c r="J82" i="15"/>
  <c r="J85" i="15"/>
  <c r="J87" i="15"/>
  <c r="J89" i="15"/>
  <c r="J90" i="15"/>
  <c r="J92" i="15"/>
  <c r="I94" i="15"/>
  <c r="J74" i="15"/>
  <c r="J76" i="15"/>
  <c r="J77" i="15"/>
  <c r="J79" i="15"/>
  <c r="J81" i="15"/>
  <c r="J83" i="15"/>
  <c r="J84" i="15"/>
  <c r="J86" i="15"/>
  <c r="J88" i="15"/>
  <c r="J91" i="15"/>
  <c r="J93" i="15"/>
  <c r="R77" i="15"/>
  <c r="R78" i="15"/>
  <c r="R88" i="15"/>
  <c r="F11" i="20"/>
  <c r="F16" i="20"/>
  <c r="F13" i="20"/>
  <c r="F17" i="20"/>
  <c r="F21" i="20"/>
  <c r="F25" i="20"/>
  <c r="F14" i="20"/>
  <c r="F18" i="20"/>
  <c r="F22" i="20"/>
  <c r="F26" i="20"/>
  <c r="F15" i="20"/>
  <c r="F19" i="20"/>
  <c r="F23" i="20"/>
  <c r="F27" i="20"/>
  <c r="F10" i="20"/>
  <c r="F20" i="20"/>
  <c r="F24" i="20"/>
  <c r="F28" i="20"/>
  <c r="F12" i="20"/>
  <c r="R93" i="15"/>
  <c r="R83" i="15"/>
  <c r="R81" i="15"/>
  <c r="R89" i="15"/>
  <c r="R87" i="15"/>
  <c r="R86" i="15"/>
  <c r="R85" i="15"/>
  <c r="R80" i="15"/>
  <c r="R79" i="15"/>
  <c r="P94" i="15"/>
  <c r="R75" i="15"/>
  <c r="R91" i="15"/>
  <c r="M94" i="15"/>
  <c r="L36" i="15"/>
  <c r="J29" i="8"/>
  <c r="L51" i="15"/>
  <c r="I12" i="15"/>
  <c r="I19" i="15" s="1"/>
  <c r="K31" i="15"/>
  <c r="K25" i="15"/>
  <c r="K26" i="15" s="1"/>
  <c r="K27" i="15" l="1"/>
  <c r="K28" i="15"/>
  <c r="R94" i="15"/>
  <c r="K29" i="15"/>
  <c r="K30" i="15" s="1"/>
  <c r="I15" i="15"/>
  <c r="D22" i="19" s="1"/>
  <c r="I16" i="15"/>
  <c r="G22" i="18" s="1"/>
  <c r="F22" i="19" s="1"/>
  <c r="I17" i="15"/>
  <c r="S28" i="4" s="1"/>
  <c r="D12" i="19"/>
  <c r="D28" i="19"/>
  <c r="F29" i="1"/>
  <c r="D15" i="19" l="1"/>
  <c r="D25" i="19"/>
  <c r="D11" i="19"/>
  <c r="I18" i="15"/>
  <c r="K18" i="15" s="1"/>
  <c r="G18" i="18"/>
  <c r="F18" i="19" s="1"/>
  <c r="G25" i="18"/>
  <c r="F25" i="19" s="1"/>
  <c r="G25" i="19" s="1"/>
  <c r="D24" i="19"/>
  <c r="D18" i="19"/>
  <c r="G12" i="18"/>
  <c r="F12" i="19" s="1"/>
  <c r="G12" i="19" s="1"/>
  <c r="D21" i="19"/>
  <c r="D27" i="19"/>
  <c r="D14" i="19"/>
  <c r="G28" i="18"/>
  <c r="F28" i="19" s="1"/>
  <c r="G28" i="19" s="1"/>
  <c r="G15" i="18"/>
  <c r="F15" i="19" s="1"/>
  <c r="G26" i="20"/>
  <c r="G14" i="20"/>
  <c r="G25" i="20"/>
  <c r="G21" i="20"/>
  <c r="G29" i="20"/>
  <c r="G13" i="20"/>
  <c r="G10" i="20"/>
  <c r="G20" i="20"/>
  <c r="G24" i="20"/>
  <c r="G12" i="20"/>
  <c r="G18" i="20"/>
  <c r="G19" i="20"/>
  <c r="G17" i="20"/>
  <c r="G11" i="20"/>
  <c r="G22" i="20"/>
  <c r="G28" i="20"/>
  <c r="G16" i="20"/>
  <c r="G23" i="20"/>
  <c r="G27" i="20"/>
  <c r="G15" i="20"/>
  <c r="G21" i="18"/>
  <c r="F21" i="19" s="1"/>
  <c r="G24" i="18"/>
  <c r="F24" i="19" s="1"/>
  <c r="G27" i="18"/>
  <c r="F27" i="19" s="1"/>
  <c r="G11" i="18"/>
  <c r="F11" i="19" s="1"/>
  <c r="G14" i="18"/>
  <c r="F14" i="19" s="1"/>
  <c r="G17" i="18"/>
  <c r="F17" i="19" s="1"/>
  <c r="G20" i="18"/>
  <c r="F20" i="19" s="1"/>
  <c r="G23" i="18"/>
  <c r="F23" i="19" s="1"/>
  <c r="G26" i="18"/>
  <c r="F26" i="19" s="1"/>
  <c r="G10" i="18"/>
  <c r="F10" i="19" s="1"/>
  <c r="D17" i="19"/>
  <c r="D20" i="19"/>
  <c r="D23" i="19"/>
  <c r="D26" i="19"/>
  <c r="D10" i="19"/>
  <c r="G9" i="18"/>
  <c r="F9" i="19" s="1"/>
  <c r="G13" i="18"/>
  <c r="F13" i="19" s="1"/>
  <c r="G16" i="18"/>
  <c r="F16" i="19" s="1"/>
  <c r="G19" i="18"/>
  <c r="F19" i="19" s="1"/>
  <c r="D13" i="19"/>
  <c r="D16" i="19"/>
  <c r="D19" i="19"/>
  <c r="D9" i="19"/>
  <c r="G22" i="19"/>
  <c r="H29" i="14"/>
  <c r="L29" i="14" s="1"/>
  <c r="H29" i="13"/>
  <c r="G30" i="20" l="1"/>
  <c r="G15" i="19"/>
  <c r="J15" i="19" s="1"/>
  <c r="G11" i="19"/>
  <c r="J11" i="19" s="1"/>
  <c r="G18" i="19"/>
  <c r="J18" i="19" s="1"/>
  <c r="G26" i="19"/>
  <c r="J26" i="19" s="1"/>
  <c r="G14" i="19"/>
  <c r="J14" i="19" s="1"/>
  <c r="G24" i="19"/>
  <c r="J24" i="19" s="1"/>
  <c r="G16" i="19"/>
  <c r="J16" i="19" s="1"/>
  <c r="G13" i="19"/>
  <c r="J13" i="19" s="1"/>
  <c r="G21" i="19"/>
  <c r="J21" i="19" s="1"/>
  <c r="G23" i="19"/>
  <c r="J23" i="19" s="1"/>
  <c r="G20" i="19"/>
  <c r="J20" i="19" s="1"/>
  <c r="G27" i="19"/>
  <c r="J27" i="19" s="1"/>
  <c r="G29" i="18"/>
  <c r="G10" i="19"/>
  <c r="J10" i="19" s="1"/>
  <c r="G17" i="19"/>
  <c r="J17" i="19" s="1"/>
  <c r="G19" i="19"/>
  <c r="J19" i="19" s="1"/>
  <c r="AA14" i="3"/>
  <c r="AA27" i="3"/>
  <c r="AA11" i="3"/>
  <c r="AA12" i="3"/>
  <c r="AA20" i="3"/>
  <c r="AA15" i="3"/>
  <c r="AA17" i="3"/>
  <c r="AA18" i="3"/>
  <c r="AA22" i="3"/>
  <c r="AA10" i="3"/>
  <c r="AA19" i="3"/>
  <c r="AA13" i="3"/>
  <c r="AA26" i="3"/>
  <c r="AA21" i="3"/>
  <c r="AA16" i="3"/>
  <c r="AA23" i="3"/>
  <c r="AA9" i="3"/>
  <c r="AA28" i="3"/>
  <c r="AA24" i="3"/>
  <c r="AA25" i="3"/>
  <c r="F29" i="19"/>
  <c r="J12" i="19"/>
  <c r="J25" i="19"/>
  <c r="J22" i="19"/>
  <c r="J28" i="19"/>
  <c r="D29" i="19"/>
  <c r="G9" i="19"/>
  <c r="AA29" i="3" l="1"/>
  <c r="G29" i="19"/>
  <c r="J9" i="19"/>
  <c r="J29" i="19" l="1"/>
  <c r="H9" i="19"/>
  <c r="K9" i="19" s="1"/>
  <c r="H10" i="19"/>
  <c r="K10" i="19" s="1"/>
  <c r="H17" i="19"/>
  <c r="K17" i="19" s="1"/>
  <c r="H12" i="19"/>
  <c r="K12" i="19" s="1"/>
  <c r="H22" i="19"/>
  <c r="K22" i="19" s="1"/>
  <c r="H11" i="19"/>
  <c r="K11" i="19" s="1"/>
  <c r="H26" i="19"/>
  <c r="K26" i="19" s="1"/>
  <c r="H15" i="19"/>
  <c r="K15" i="19" s="1"/>
  <c r="H19" i="19"/>
  <c r="K19" i="19" s="1"/>
  <c r="H14" i="19"/>
  <c r="K14" i="19" s="1"/>
  <c r="H21" i="19"/>
  <c r="K21" i="19" s="1"/>
  <c r="H25" i="19"/>
  <c r="K25" i="19" s="1"/>
  <c r="H24" i="19"/>
  <c r="K24" i="19" s="1"/>
  <c r="H28" i="19"/>
  <c r="K28" i="19" s="1"/>
  <c r="H27" i="19"/>
  <c r="K27" i="19" s="1"/>
  <c r="H23" i="19"/>
  <c r="K23" i="19" s="1"/>
  <c r="H18" i="19"/>
  <c r="K18" i="19" s="1"/>
  <c r="H16" i="19"/>
  <c r="K16" i="19" s="1"/>
  <c r="H20" i="19"/>
  <c r="K20" i="19" s="1"/>
  <c r="H13" i="19"/>
  <c r="K13" i="19" s="1"/>
  <c r="M13" i="19" s="1"/>
  <c r="E71" i="19" s="1"/>
  <c r="F71" i="19" s="1"/>
  <c r="V9" i="3"/>
  <c r="V10" i="3"/>
  <c r="V11" i="3"/>
  <c r="V12" i="3"/>
  <c r="V13" i="3"/>
  <c r="V16" i="3"/>
  <c r="V17" i="3"/>
  <c r="V18" i="3"/>
  <c r="V20" i="3"/>
  <c r="V21" i="3"/>
  <c r="V23" i="3"/>
  <c r="V25" i="3"/>
  <c r="V26" i="3"/>
  <c r="V28" i="3"/>
  <c r="M16" i="19" l="1"/>
  <c r="E74" i="19" s="1"/>
  <c r="F74" i="19" s="1"/>
  <c r="M28" i="19"/>
  <c r="E86" i="19" s="1"/>
  <c r="F86" i="19" s="1"/>
  <c r="M14" i="19"/>
  <c r="E72" i="19" s="1"/>
  <c r="F72" i="19" s="1"/>
  <c r="M11" i="19"/>
  <c r="E69" i="19" s="1"/>
  <c r="F69" i="19" s="1"/>
  <c r="M10" i="19"/>
  <c r="E68" i="19" s="1"/>
  <c r="F68" i="19" s="1"/>
  <c r="M18" i="19"/>
  <c r="E76" i="19" s="1"/>
  <c r="F76" i="19" s="1"/>
  <c r="M24" i="19"/>
  <c r="E82" i="19" s="1"/>
  <c r="F82" i="19" s="1"/>
  <c r="M19" i="19"/>
  <c r="E77" i="19" s="1"/>
  <c r="F77" i="19" s="1"/>
  <c r="M22" i="19"/>
  <c r="E80" i="19" s="1"/>
  <c r="F80" i="19" s="1"/>
  <c r="H29" i="19"/>
  <c r="M23" i="19"/>
  <c r="E81" i="19" s="1"/>
  <c r="F81" i="19" s="1"/>
  <c r="M25" i="19"/>
  <c r="E83" i="19" s="1"/>
  <c r="F83" i="19" s="1"/>
  <c r="M15" i="19"/>
  <c r="E73" i="19" s="1"/>
  <c r="F73" i="19" s="1"/>
  <c r="M12" i="19"/>
  <c r="E70" i="19" s="1"/>
  <c r="F70" i="19" s="1"/>
  <c r="K29" i="19"/>
  <c r="L13" i="19" s="1"/>
  <c r="M9" i="19"/>
  <c r="M20" i="19"/>
  <c r="E78" i="19" s="1"/>
  <c r="F78" i="19" s="1"/>
  <c r="M27" i="19"/>
  <c r="E85" i="19" s="1"/>
  <c r="F85" i="19" s="1"/>
  <c r="M21" i="19"/>
  <c r="E79" i="19" s="1"/>
  <c r="F79" i="19" s="1"/>
  <c r="M26" i="19"/>
  <c r="E84" i="19" s="1"/>
  <c r="F84" i="19" s="1"/>
  <c r="M17" i="19"/>
  <c r="E75" i="19" s="1"/>
  <c r="F75" i="19" s="1"/>
  <c r="W28" i="4"/>
  <c r="C9" i="3"/>
  <c r="C10" i="3"/>
  <c r="C11" i="3"/>
  <c r="C12" i="3"/>
  <c r="C13" i="3"/>
  <c r="C14" i="3"/>
  <c r="C15" i="3"/>
  <c r="C16" i="3"/>
  <c r="C17" i="3"/>
  <c r="C18" i="3"/>
  <c r="C19" i="3"/>
  <c r="C30" i="11"/>
  <c r="B29" i="1"/>
  <c r="E29" i="1"/>
  <c r="G28" i="1"/>
  <c r="I28" i="5" s="1"/>
  <c r="D28" i="1"/>
  <c r="H27" i="4" s="1"/>
  <c r="G27" i="1"/>
  <c r="I27" i="5" s="1"/>
  <c r="D27" i="1"/>
  <c r="H26" i="4" s="1"/>
  <c r="G26" i="1"/>
  <c r="I26" i="5" s="1"/>
  <c r="D26" i="1"/>
  <c r="H25" i="4" s="1"/>
  <c r="G25" i="1"/>
  <c r="I25" i="5" s="1"/>
  <c r="D25" i="1"/>
  <c r="H24" i="4" s="1"/>
  <c r="G24" i="1"/>
  <c r="I24" i="5" s="1"/>
  <c r="D24" i="1"/>
  <c r="H23" i="4" s="1"/>
  <c r="G23" i="1"/>
  <c r="I23" i="5" s="1"/>
  <c r="D23" i="1"/>
  <c r="H22" i="4" s="1"/>
  <c r="G22" i="1"/>
  <c r="I22" i="5" s="1"/>
  <c r="D22" i="1"/>
  <c r="H21" i="4" s="1"/>
  <c r="G21" i="1"/>
  <c r="I21" i="5" s="1"/>
  <c r="D21" i="1"/>
  <c r="H20" i="4" s="1"/>
  <c r="G20" i="1"/>
  <c r="I20" i="5" s="1"/>
  <c r="D20" i="1"/>
  <c r="H19" i="4" s="1"/>
  <c r="G19" i="1"/>
  <c r="I19" i="5" s="1"/>
  <c r="D19" i="1"/>
  <c r="H18" i="4" s="1"/>
  <c r="G18" i="1"/>
  <c r="I18" i="5" s="1"/>
  <c r="D18" i="1"/>
  <c r="H17" i="4" s="1"/>
  <c r="G17" i="1"/>
  <c r="I17" i="5" s="1"/>
  <c r="D17" i="1"/>
  <c r="H16" i="4" s="1"/>
  <c r="G16" i="1"/>
  <c r="I16" i="5" s="1"/>
  <c r="D16" i="1"/>
  <c r="H15" i="4" s="1"/>
  <c r="G15" i="1"/>
  <c r="I15" i="5" s="1"/>
  <c r="D15" i="1"/>
  <c r="H14" i="4" s="1"/>
  <c r="G14" i="1"/>
  <c r="I14" i="5" s="1"/>
  <c r="D14" i="1"/>
  <c r="H13" i="4" s="1"/>
  <c r="G13" i="1"/>
  <c r="I13" i="5" s="1"/>
  <c r="D13" i="1"/>
  <c r="H12" i="4" s="1"/>
  <c r="G12" i="1"/>
  <c r="I12" i="5" s="1"/>
  <c r="D12" i="1"/>
  <c r="H11" i="4" s="1"/>
  <c r="G11" i="1"/>
  <c r="I11" i="5" s="1"/>
  <c r="D11" i="1"/>
  <c r="H10" i="4" s="1"/>
  <c r="G10" i="1"/>
  <c r="I10" i="5" s="1"/>
  <c r="D10" i="1"/>
  <c r="H9" i="4" s="1"/>
  <c r="G9" i="1"/>
  <c r="I9" i="5" s="1"/>
  <c r="D9" i="1"/>
  <c r="H8" i="4" s="1"/>
  <c r="M29" i="8"/>
  <c r="C29" i="8"/>
  <c r="C29" i="7"/>
  <c r="D60" i="5"/>
  <c r="E59" i="5"/>
  <c r="F59" i="5" s="1"/>
  <c r="E58" i="5"/>
  <c r="F58" i="5" s="1"/>
  <c r="E57" i="5"/>
  <c r="F57" i="5" s="1"/>
  <c r="E56" i="5"/>
  <c r="F56" i="5" s="1"/>
  <c r="E55" i="5"/>
  <c r="F55" i="5" s="1"/>
  <c r="E54" i="5"/>
  <c r="F54" i="5" s="1"/>
  <c r="E53" i="5"/>
  <c r="F53" i="5" s="1"/>
  <c r="E52" i="5"/>
  <c r="F52" i="5" s="1"/>
  <c r="E51" i="5"/>
  <c r="F51" i="5" s="1"/>
  <c r="E50" i="5"/>
  <c r="F50" i="5" s="1"/>
  <c r="E49" i="5"/>
  <c r="F49" i="5" s="1"/>
  <c r="E48" i="5"/>
  <c r="F48" i="5" s="1"/>
  <c r="E47" i="5"/>
  <c r="F47" i="5" s="1"/>
  <c r="E46" i="5"/>
  <c r="F46" i="5" s="1"/>
  <c r="E45" i="5"/>
  <c r="F45" i="5" s="1"/>
  <c r="E44" i="5"/>
  <c r="F44" i="5" s="1"/>
  <c r="E43" i="5"/>
  <c r="F43" i="5" s="1"/>
  <c r="E42" i="5"/>
  <c r="F42" i="5" s="1"/>
  <c r="E41" i="5"/>
  <c r="F41" i="5" s="1"/>
  <c r="E40" i="5"/>
  <c r="AA29" i="5"/>
  <c r="Y29" i="5"/>
  <c r="W29" i="5"/>
  <c r="M29" i="5"/>
  <c r="N22" i="5" s="1"/>
  <c r="B20" i="47" s="1"/>
  <c r="D29" i="5"/>
  <c r="V28" i="5"/>
  <c r="X28" i="5" s="1"/>
  <c r="AB27" i="5"/>
  <c r="AB26" i="5"/>
  <c r="V26" i="5"/>
  <c r="X26" i="5" s="1"/>
  <c r="AB25" i="5"/>
  <c r="V25" i="5"/>
  <c r="X25" i="5" s="1"/>
  <c r="AB24" i="5"/>
  <c r="AB23" i="5"/>
  <c r="V23" i="5"/>
  <c r="X23" i="5" s="1"/>
  <c r="AB22" i="5"/>
  <c r="AB21" i="5"/>
  <c r="V21" i="5"/>
  <c r="X21" i="5" s="1"/>
  <c r="AB20" i="5"/>
  <c r="V20" i="5"/>
  <c r="X20" i="5" s="1"/>
  <c r="AB19" i="5"/>
  <c r="AB18" i="5"/>
  <c r="V18" i="5"/>
  <c r="X18" i="5" s="1"/>
  <c r="AB17" i="5"/>
  <c r="V17" i="5"/>
  <c r="X17" i="5" s="1"/>
  <c r="AB16" i="5"/>
  <c r="V16" i="5"/>
  <c r="X16" i="5" s="1"/>
  <c r="AB15" i="5"/>
  <c r="AB14" i="5"/>
  <c r="V13" i="5"/>
  <c r="X13" i="5" s="1"/>
  <c r="V12" i="5"/>
  <c r="X12" i="5" s="1"/>
  <c r="V11" i="5"/>
  <c r="X11" i="5" s="1"/>
  <c r="V10" i="5"/>
  <c r="X10" i="5" s="1"/>
  <c r="V9" i="5"/>
  <c r="X9" i="5" s="1"/>
  <c r="T9" i="5"/>
  <c r="T29" i="5" s="1"/>
  <c r="B28" i="4"/>
  <c r="C20" i="47" l="1"/>
  <c r="H20" i="47"/>
  <c r="N20" i="47"/>
  <c r="G20" i="47"/>
  <c r="D20" i="47"/>
  <c r="F20" i="47"/>
  <c r="K20" i="47"/>
  <c r="M20" i="47"/>
  <c r="J20" i="47"/>
  <c r="I20" i="47"/>
  <c r="E20" i="47"/>
  <c r="L20" i="47"/>
  <c r="L27" i="19"/>
  <c r="L9" i="19"/>
  <c r="AB29" i="5"/>
  <c r="L26" i="19"/>
  <c r="L25" i="19"/>
  <c r="L12" i="19"/>
  <c r="L15" i="19"/>
  <c r="L23" i="19"/>
  <c r="L17" i="19"/>
  <c r="L21" i="19"/>
  <c r="L20" i="19"/>
  <c r="L19" i="19"/>
  <c r="L18" i="19"/>
  <c r="L11" i="19"/>
  <c r="L28" i="19"/>
  <c r="M29" i="19"/>
  <c r="E87" i="19" s="1"/>
  <c r="F87" i="19" s="1"/>
  <c r="E67" i="19"/>
  <c r="F67" i="19" s="1"/>
  <c r="L22" i="19"/>
  <c r="L24" i="19"/>
  <c r="L10" i="19"/>
  <c r="L14" i="19"/>
  <c r="L16" i="19"/>
  <c r="N24" i="5"/>
  <c r="N19" i="5"/>
  <c r="N14" i="5"/>
  <c r="V22" i="3"/>
  <c r="V22" i="5"/>
  <c r="X22" i="5" s="1"/>
  <c r="N27" i="5"/>
  <c r="B25" i="47" s="1"/>
  <c r="N15" i="5"/>
  <c r="B13" i="47" s="1"/>
  <c r="E10" i="8"/>
  <c r="I9" i="4"/>
  <c r="J9" i="4" s="1"/>
  <c r="X9" i="4" s="1"/>
  <c r="E12" i="8"/>
  <c r="I11" i="4"/>
  <c r="E14" i="8"/>
  <c r="I13" i="4"/>
  <c r="J13" i="4" s="1"/>
  <c r="X13" i="4" s="1"/>
  <c r="E16" i="8"/>
  <c r="I15" i="4"/>
  <c r="E18" i="8"/>
  <c r="I17" i="4"/>
  <c r="J17" i="4" s="1"/>
  <c r="X17" i="4" s="1"/>
  <c r="E20" i="8"/>
  <c r="I19" i="4"/>
  <c r="I21" i="4"/>
  <c r="J21" i="4" s="1"/>
  <c r="X21" i="4" s="1"/>
  <c r="E22" i="8"/>
  <c r="E24" i="8"/>
  <c r="I23" i="4"/>
  <c r="J23" i="4" s="1"/>
  <c r="X23" i="4" s="1"/>
  <c r="I25" i="4"/>
  <c r="J25" i="4" s="1"/>
  <c r="X25" i="4" s="1"/>
  <c r="E26" i="8"/>
  <c r="E28" i="8"/>
  <c r="I27" i="4"/>
  <c r="J27" i="4" s="1"/>
  <c r="X27" i="4" s="1"/>
  <c r="E11" i="8"/>
  <c r="I10" i="4"/>
  <c r="J10" i="4" s="1"/>
  <c r="X10" i="4" s="1"/>
  <c r="I12" i="4"/>
  <c r="J12" i="4" s="1"/>
  <c r="X12" i="4" s="1"/>
  <c r="E13" i="8"/>
  <c r="I14" i="4"/>
  <c r="J14" i="4" s="1"/>
  <c r="X14" i="4" s="1"/>
  <c r="E15" i="8"/>
  <c r="I16" i="4"/>
  <c r="J16" i="4" s="1"/>
  <c r="X16" i="4" s="1"/>
  <c r="E17" i="8"/>
  <c r="I18" i="4"/>
  <c r="J18" i="4" s="1"/>
  <c r="X18" i="4" s="1"/>
  <c r="E19" i="8"/>
  <c r="I20" i="4"/>
  <c r="J20" i="4" s="1"/>
  <c r="X20" i="4" s="1"/>
  <c r="E21" i="8"/>
  <c r="I22" i="4"/>
  <c r="J22" i="4" s="1"/>
  <c r="X22" i="4" s="1"/>
  <c r="E23" i="8"/>
  <c r="I24" i="4"/>
  <c r="J24" i="4" s="1"/>
  <c r="X24" i="4" s="1"/>
  <c r="E25" i="8"/>
  <c r="E27" i="8"/>
  <c r="I26" i="4"/>
  <c r="J26" i="4" s="1"/>
  <c r="X26" i="4" s="1"/>
  <c r="I8" i="4"/>
  <c r="J8" i="4" s="1"/>
  <c r="X8" i="4" s="1"/>
  <c r="E9" i="8"/>
  <c r="G29" i="1"/>
  <c r="D29" i="1"/>
  <c r="D28" i="4"/>
  <c r="E10" i="4" s="1"/>
  <c r="E13" i="22" s="1"/>
  <c r="E60" i="5"/>
  <c r="F60" i="5" s="1"/>
  <c r="H28" i="4"/>
  <c r="J19" i="4"/>
  <c r="X19" i="4" s="1"/>
  <c r="F29" i="5"/>
  <c r="G10" i="5" s="1"/>
  <c r="D29" i="7"/>
  <c r="G29" i="8"/>
  <c r="J11" i="4"/>
  <c r="X11" i="4" s="1"/>
  <c r="C29" i="1"/>
  <c r="E29" i="7"/>
  <c r="F14" i="7" s="1"/>
  <c r="B12" i="41" s="1"/>
  <c r="E29" i="5"/>
  <c r="I29" i="5"/>
  <c r="J13" i="5" s="1"/>
  <c r="K13" i="5" s="1"/>
  <c r="F40" i="5"/>
  <c r="H10" i="5" l="1"/>
  <c r="C25" i="47"/>
  <c r="G25" i="47"/>
  <c r="I25" i="47"/>
  <c r="H25" i="47"/>
  <c r="J25" i="47"/>
  <c r="D25" i="47"/>
  <c r="M25" i="47"/>
  <c r="E25" i="47"/>
  <c r="L25" i="47"/>
  <c r="K25" i="47"/>
  <c r="N25" i="47"/>
  <c r="F25" i="47"/>
  <c r="V19" i="3"/>
  <c r="B17" i="47"/>
  <c r="V24" i="3"/>
  <c r="B22" i="47"/>
  <c r="L12" i="41"/>
  <c r="L10" i="40" s="1"/>
  <c r="J12" i="41"/>
  <c r="J10" i="40" s="1"/>
  <c r="N12" i="41"/>
  <c r="N10" i="40" s="1"/>
  <c r="G12" i="41"/>
  <c r="G10" i="40" s="1"/>
  <c r="M12" i="41"/>
  <c r="M10" i="40" s="1"/>
  <c r="D12" i="41"/>
  <c r="D10" i="40" s="1"/>
  <c r="I12" i="41"/>
  <c r="I10" i="40" s="1"/>
  <c r="F12" i="41"/>
  <c r="F10" i="40" s="1"/>
  <c r="H12" i="41"/>
  <c r="H10" i="40" s="1"/>
  <c r="E12" i="41"/>
  <c r="E10" i="40" s="1"/>
  <c r="K12" i="41"/>
  <c r="K10" i="40" s="1"/>
  <c r="C12" i="41"/>
  <c r="C13" i="47"/>
  <c r="K13" i="47"/>
  <c r="E13" i="47"/>
  <c r="M13" i="47"/>
  <c r="I13" i="47"/>
  <c r="H13" i="47"/>
  <c r="L13" i="47"/>
  <c r="F13" i="47"/>
  <c r="J13" i="47"/>
  <c r="D13" i="47"/>
  <c r="N13" i="47"/>
  <c r="G13" i="47"/>
  <c r="V14" i="3"/>
  <c r="B12" i="47"/>
  <c r="O20" i="47"/>
  <c r="E23" i="4"/>
  <c r="E26" i="22" s="1"/>
  <c r="G26" i="22" s="1"/>
  <c r="E21" i="4"/>
  <c r="E24" i="22" s="1"/>
  <c r="G24" i="22" s="1"/>
  <c r="F13" i="22"/>
  <c r="G13" i="22"/>
  <c r="E25" i="4"/>
  <c r="E28" i="22" s="1"/>
  <c r="E11" i="4"/>
  <c r="E14" i="22" s="1"/>
  <c r="L29" i="19"/>
  <c r="AB14" i="3"/>
  <c r="G14" i="7"/>
  <c r="H14" i="7" s="1"/>
  <c r="AC14" i="3" s="1"/>
  <c r="C24" i="14"/>
  <c r="D24" i="14" s="1"/>
  <c r="C22" i="13"/>
  <c r="D22" i="13" s="1"/>
  <c r="F10" i="4"/>
  <c r="C11" i="14"/>
  <c r="D11" i="14" s="1"/>
  <c r="C11" i="13"/>
  <c r="D11" i="13" s="1"/>
  <c r="N29" i="5"/>
  <c r="G84" i="19"/>
  <c r="H84" i="19" s="1"/>
  <c r="G68" i="19"/>
  <c r="H68" i="19" s="1"/>
  <c r="G71" i="19"/>
  <c r="H71" i="19" s="1"/>
  <c r="G78" i="19"/>
  <c r="H78" i="19" s="1"/>
  <c r="G81" i="19"/>
  <c r="H81" i="19" s="1"/>
  <c r="G80" i="19"/>
  <c r="H80" i="19" s="1"/>
  <c r="G83" i="19"/>
  <c r="H83" i="19" s="1"/>
  <c r="G67" i="19"/>
  <c r="H67" i="19" s="1"/>
  <c r="G74" i="19"/>
  <c r="H74" i="19" s="1"/>
  <c r="G77" i="19"/>
  <c r="H77" i="19" s="1"/>
  <c r="G76" i="19"/>
  <c r="H76" i="19" s="1"/>
  <c r="G79" i="19"/>
  <c r="H79" i="19" s="1"/>
  <c r="G86" i="19"/>
  <c r="H86" i="19" s="1"/>
  <c r="G70" i="19"/>
  <c r="H70" i="19" s="1"/>
  <c r="G73" i="19"/>
  <c r="H73" i="19" s="1"/>
  <c r="G87" i="19"/>
  <c r="G72" i="19"/>
  <c r="H72" i="19" s="1"/>
  <c r="G75" i="19"/>
  <c r="H75" i="19" s="1"/>
  <c r="G82" i="19"/>
  <c r="H82" i="19" s="1"/>
  <c r="G85" i="19"/>
  <c r="H85" i="19" s="1"/>
  <c r="G69" i="19"/>
  <c r="H69" i="19" s="1"/>
  <c r="V19" i="5"/>
  <c r="X19" i="5" s="1"/>
  <c r="V14" i="5"/>
  <c r="X14" i="5" s="1"/>
  <c r="V24" i="5"/>
  <c r="X24" i="5" s="1"/>
  <c r="V15" i="3"/>
  <c r="V15" i="5"/>
  <c r="X15" i="5" s="1"/>
  <c r="V27" i="3"/>
  <c r="V27" i="5"/>
  <c r="X27" i="5" s="1"/>
  <c r="E26" i="4"/>
  <c r="E29" i="22" s="1"/>
  <c r="E12" i="4"/>
  <c r="E15" i="22" s="1"/>
  <c r="E14" i="4"/>
  <c r="E17" i="22" s="1"/>
  <c r="E17" i="4"/>
  <c r="E20" i="22" s="1"/>
  <c r="I28" i="4"/>
  <c r="J15" i="4"/>
  <c r="X15" i="4" s="1"/>
  <c r="E29" i="8"/>
  <c r="F12" i="8" s="1"/>
  <c r="H12" i="8" s="1"/>
  <c r="J26" i="5"/>
  <c r="J25" i="5"/>
  <c r="K25" i="5" s="1"/>
  <c r="F20" i="7"/>
  <c r="B18" i="41" s="1"/>
  <c r="F26" i="7"/>
  <c r="B24" i="41" s="1"/>
  <c r="G18" i="5"/>
  <c r="G24" i="5"/>
  <c r="G16" i="5"/>
  <c r="G19" i="5"/>
  <c r="G20" i="5"/>
  <c r="G26" i="5"/>
  <c r="G27" i="5"/>
  <c r="G28" i="5"/>
  <c r="G21" i="5"/>
  <c r="G23" i="5"/>
  <c r="G25" i="5"/>
  <c r="G29" i="5"/>
  <c r="G15" i="5"/>
  <c r="J15" i="5"/>
  <c r="K15" i="5" s="1"/>
  <c r="E24" i="4"/>
  <c r="E27" i="22" s="1"/>
  <c r="E22" i="4"/>
  <c r="E25" i="22" s="1"/>
  <c r="E20" i="4"/>
  <c r="E23" i="22" s="1"/>
  <c r="J17" i="5"/>
  <c r="K17" i="5" s="1"/>
  <c r="E19" i="4"/>
  <c r="E22" i="22" s="1"/>
  <c r="E16" i="4"/>
  <c r="E19" i="22" s="1"/>
  <c r="E8" i="4"/>
  <c r="E11" i="22" s="1"/>
  <c r="E9" i="4"/>
  <c r="E12" i="22" s="1"/>
  <c r="E27" i="4"/>
  <c r="E30" i="22" s="1"/>
  <c r="E18" i="4"/>
  <c r="E21" i="22" s="1"/>
  <c r="J12" i="5"/>
  <c r="K12" i="5" s="1"/>
  <c r="E15" i="4"/>
  <c r="E18" i="22" s="1"/>
  <c r="E13" i="4"/>
  <c r="E16" i="22" s="1"/>
  <c r="J27" i="5"/>
  <c r="K27" i="5" s="1"/>
  <c r="G12" i="5"/>
  <c r="J16" i="5"/>
  <c r="K16" i="5" s="1"/>
  <c r="G11" i="5"/>
  <c r="G17" i="5"/>
  <c r="G22" i="5"/>
  <c r="G9" i="5"/>
  <c r="G14" i="5"/>
  <c r="G13" i="5"/>
  <c r="B11" i="48" s="1"/>
  <c r="F28" i="7"/>
  <c r="B26" i="41" s="1"/>
  <c r="F16" i="7"/>
  <c r="B14" i="41" s="1"/>
  <c r="F18" i="7"/>
  <c r="B16" i="41" s="1"/>
  <c r="F24" i="7"/>
  <c r="B22" i="41" s="1"/>
  <c r="F10" i="7"/>
  <c r="B8" i="41" s="1"/>
  <c r="F27" i="7"/>
  <c r="B25" i="41" s="1"/>
  <c r="F23" i="7"/>
  <c r="B21" i="41" s="1"/>
  <c r="F19" i="7"/>
  <c r="B17" i="41" s="1"/>
  <c r="F15" i="7"/>
  <c r="B13" i="41" s="1"/>
  <c r="F11" i="7"/>
  <c r="B9" i="41" s="1"/>
  <c r="F25" i="7"/>
  <c r="B23" i="41" s="1"/>
  <c r="F21" i="7"/>
  <c r="B19" i="41" s="1"/>
  <c r="F17" i="7"/>
  <c r="B15" i="41" s="1"/>
  <c r="F13" i="7"/>
  <c r="B11" i="41" s="1"/>
  <c r="F9" i="7"/>
  <c r="B7" i="41" s="1"/>
  <c r="F22" i="7"/>
  <c r="B20" i="41" s="1"/>
  <c r="F12" i="7"/>
  <c r="B10" i="41" s="1"/>
  <c r="J28" i="5"/>
  <c r="K28" i="5" s="1"/>
  <c r="J24" i="5"/>
  <c r="K24" i="5" s="1"/>
  <c r="J23" i="5"/>
  <c r="K23" i="5" s="1"/>
  <c r="J22" i="5"/>
  <c r="K22" i="5" s="1"/>
  <c r="J21" i="5"/>
  <c r="K21" i="5" s="1"/>
  <c r="J20" i="5"/>
  <c r="K20" i="5" s="1"/>
  <c r="J18" i="5"/>
  <c r="K18" i="5" s="1"/>
  <c r="J29" i="5"/>
  <c r="J11" i="5"/>
  <c r="K11" i="5" s="1"/>
  <c r="J10" i="5"/>
  <c r="K10" i="5" s="1"/>
  <c r="J14" i="5"/>
  <c r="K14" i="5" s="1"/>
  <c r="J9" i="5"/>
  <c r="K9" i="5" s="1"/>
  <c r="J19" i="5"/>
  <c r="K19" i="5" s="1"/>
  <c r="J7" i="41" l="1"/>
  <c r="L7" i="41"/>
  <c r="N7" i="41"/>
  <c r="M7" i="41"/>
  <c r="D7" i="41"/>
  <c r="G7" i="41"/>
  <c r="H7" i="41"/>
  <c r="E7" i="41"/>
  <c r="K7" i="41"/>
  <c r="I7" i="41"/>
  <c r="F7" i="41"/>
  <c r="C7" i="41"/>
  <c r="B27" i="41"/>
  <c r="L23" i="41"/>
  <c r="L21" i="40" s="1"/>
  <c r="D23" i="41"/>
  <c r="D21" i="40" s="1"/>
  <c r="G23" i="41"/>
  <c r="G21" i="40" s="1"/>
  <c r="J23" i="41"/>
  <c r="J21" i="40" s="1"/>
  <c r="N23" i="41"/>
  <c r="N21" i="40" s="1"/>
  <c r="M23" i="41"/>
  <c r="M21" i="40" s="1"/>
  <c r="F23" i="41"/>
  <c r="F21" i="40" s="1"/>
  <c r="E23" i="41"/>
  <c r="E21" i="40" s="1"/>
  <c r="I23" i="41"/>
  <c r="I21" i="40" s="1"/>
  <c r="H23" i="41"/>
  <c r="H21" i="40" s="1"/>
  <c r="K23" i="41"/>
  <c r="K21" i="40" s="1"/>
  <c r="C23" i="41"/>
  <c r="G21" i="41"/>
  <c r="G19" i="40" s="1"/>
  <c r="L21" i="41"/>
  <c r="L19" i="40" s="1"/>
  <c r="D21" i="41"/>
  <c r="D19" i="40" s="1"/>
  <c r="N21" i="41"/>
  <c r="N19" i="40" s="1"/>
  <c r="M21" i="41"/>
  <c r="M19" i="40" s="1"/>
  <c r="J21" i="41"/>
  <c r="J19" i="40" s="1"/>
  <c r="H21" i="41"/>
  <c r="H19" i="40" s="1"/>
  <c r="E21" i="41"/>
  <c r="E19" i="40" s="1"/>
  <c r="I21" i="41"/>
  <c r="I19" i="40" s="1"/>
  <c r="F21" i="41"/>
  <c r="F19" i="40" s="1"/>
  <c r="K21" i="41"/>
  <c r="K19" i="40" s="1"/>
  <c r="C21" i="41"/>
  <c r="G16" i="41"/>
  <c r="G14" i="40" s="1"/>
  <c r="D16" i="41"/>
  <c r="D14" i="40" s="1"/>
  <c r="N16" i="41"/>
  <c r="N14" i="40" s="1"/>
  <c r="M16" i="41"/>
  <c r="M14" i="40" s="1"/>
  <c r="L16" i="41"/>
  <c r="L14" i="40" s="1"/>
  <c r="J16" i="41"/>
  <c r="J14" i="40" s="1"/>
  <c r="K16" i="41"/>
  <c r="K14" i="40" s="1"/>
  <c r="E16" i="41"/>
  <c r="E14" i="40" s="1"/>
  <c r="I16" i="41"/>
  <c r="I14" i="40" s="1"/>
  <c r="F16" i="41"/>
  <c r="F14" i="40" s="1"/>
  <c r="H16" i="41"/>
  <c r="H14" i="40" s="1"/>
  <c r="C16" i="41"/>
  <c r="H14" i="5"/>
  <c r="B12" i="48"/>
  <c r="H11" i="5"/>
  <c r="B9" i="48"/>
  <c r="H25" i="5"/>
  <c r="B23" i="48"/>
  <c r="H27" i="5"/>
  <c r="B25" i="48"/>
  <c r="H16" i="5"/>
  <c r="B14" i="48"/>
  <c r="L18" i="41"/>
  <c r="L16" i="40" s="1"/>
  <c r="G18" i="41"/>
  <c r="G16" i="40" s="1"/>
  <c r="N18" i="41"/>
  <c r="N16" i="40" s="1"/>
  <c r="D18" i="41"/>
  <c r="D16" i="40" s="1"/>
  <c r="M18" i="41"/>
  <c r="M16" i="40" s="1"/>
  <c r="J18" i="41"/>
  <c r="J16" i="40" s="1"/>
  <c r="I18" i="41"/>
  <c r="I16" i="40" s="1"/>
  <c r="H18" i="41"/>
  <c r="H16" i="40" s="1"/>
  <c r="E18" i="41"/>
  <c r="E16" i="40" s="1"/>
  <c r="F18" i="41"/>
  <c r="F16" i="40" s="1"/>
  <c r="K18" i="41"/>
  <c r="K16" i="40" s="1"/>
  <c r="C18" i="41"/>
  <c r="O13" i="47"/>
  <c r="C17" i="47"/>
  <c r="K17" i="47"/>
  <c r="I17" i="47"/>
  <c r="E17" i="47"/>
  <c r="D17" i="47"/>
  <c r="M17" i="47"/>
  <c r="L17" i="47"/>
  <c r="G17" i="47"/>
  <c r="F17" i="47"/>
  <c r="J17" i="47"/>
  <c r="H17" i="47"/>
  <c r="N17" i="47"/>
  <c r="N11" i="41"/>
  <c r="N9" i="40" s="1"/>
  <c r="D11" i="41"/>
  <c r="D9" i="40" s="1"/>
  <c r="M11" i="41"/>
  <c r="M9" i="40" s="1"/>
  <c r="G11" i="41"/>
  <c r="G9" i="40" s="1"/>
  <c r="J11" i="41"/>
  <c r="J9" i="40" s="1"/>
  <c r="L11" i="41"/>
  <c r="L9" i="40" s="1"/>
  <c r="I11" i="41"/>
  <c r="I9" i="40" s="1"/>
  <c r="H11" i="41"/>
  <c r="H9" i="40" s="1"/>
  <c r="F11" i="41"/>
  <c r="F9" i="40" s="1"/>
  <c r="K11" i="41"/>
  <c r="K9" i="40" s="1"/>
  <c r="E11" i="41"/>
  <c r="E9" i="40" s="1"/>
  <c r="C11" i="41"/>
  <c r="N9" i="41"/>
  <c r="N7" i="40" s="1"/>
  <c r="M9" i="41"/>
  <c r="M7" i="40" s="1"/>
  <c r="J9" i="41"/>
  <c r="J7" i="40" s="1"/>
  <c r="G9" i="41"/>
  <c r="G7" i="40" s="1"/>
  <c r="L9" i="41"/>
  <c r="L7" i="40" s="1"/>
  <c r="D9" i="41"/>
  <c r="D7" i="40" s="1"/>
  <c r="K9" i="41"/>
  <c r="K7" i="40" s="1"/>
  <c r="I9" i="41"/>
  <c r="I7" i="40" s="1"/>
  <c r="E9" i="41"/>
  <c r="E7" i="40" s="1"/>
  <c r="H9" i="41"/>
  <c r="H7" i="40" s="1"/>
  <c r="F9" i="41"/>
  <c r="F7" i="40" s="1"/>
  <c r="C9" i="41"/>
  <c r="N25" i="41"/>
  <c r="N23" i="40" s="1"/>
  <c r="M25" i="41"/>
  <c r="M23" i="40" s="1"/>
  <c r="J25" i="41"/>
  <c r="J23" i="40" s="1"/>
  <c r="G25" i="41"/>
  <c r="G23" i="40" s="1"/>
  <c r="L25" i="41"/>
  <c r="L23" i="40" s="1"/>
  <c r="D25" i="41"/>
  <c r="D23" i="40" s="1"/>
  <c r="K25" i="41"/>
  <c r="K23" i="40" s="1"/>
  <c r="H25" i="41"/>
  <c r="H23" i="40" s="1"/>
  <c r="E25" i="41"/>
  <c r="E23" i="40" s="1"/>
  <c r="I25" i="41"/>
  <c r="I23" i="40" s="1"/>
  <c r="F25" i="41"/>
  <c r="F23" i="40" s="1"/>
  <c r="C25" i="41"/>
  <c r="N14" i="41"/>
  <c r="N12" i="40" s="1"/>
  <c r="D14" i="41"/>
  <c r="D12" i="40" s="1"/>
  <c r="I14" i="41"/>
  <c r="I12" i="40" s="1"/>
  <c r="M14" i="41"/>
  <c r="M12" i="40" s="1"/>
  <c r="J14" i="41"/>
  <c r="J12" i="40" s="1"/>
  <c r="L14" i="41"/>
  <c r="L12" i="40" s="1"/>
  <c r="G14" i="41"/>
  <c r="G12" i="40" s="1"/>
  <c r="H14" i="41"/>
  <c r="H12" i="40" s="1"/>
  <c r="E14" i="41"/>
  <c r="E12" i="40" s="1"/>
  <c r="F14" i="41"/>
  <c r="F12" i="40" s="1"/>
  <c r="K14" i="41"/>
  <c r="K12" i="40" s="1"/>
  <c r="C14" i="41"/>
  <c r="H9" i="5"/>
  <c r="B37" i="48"/>
  <c r="B38" i="48" s="1"/>
  <c r="B7" i="48"/>
  <c r="H23" i="5"/>
  <c r="B21" i="48"/>
  <c r="H26" i="5"/>
  <c r="B24" i="48"/>
  <c r="H24" i="5"/>
  <c r="B22" i="48"/>
  <c r="C10" i="40"/>
  <c r="O10" i="40" s="1"/>
  <c r="O12" i="41"/>
  <c r="C22" i="47"/>
  <c r="L22" i="47"/>
  <c r="I22" i="47"/>
  <c r="N22" i="47"/>
  <c r="G22" i="47"/>
  <c r="E22" i="47"/>
  <c r="H22" i="47"/>
  <c r="J22" i="47"/>
  <c r="K22" i="47"/>
  <c r="M22" i="47"/>
  <c r="D22" i="47"/>
  <c r="F22" i="47"/>
  <c r="O25" i="47"/>
  <c r="M10" i="41"/>
  <c r="M8" i="40" s="1"/>
  <c r="J10" i="41"/>
  <c r="J8" i="40" s="1"/>
  <c r="L10" i="41"/>
  <c r="L8" i="40" s="1"/>
  <c r="G10" i="41"/>
  <c r="G8" i="40" s="1"/>
  <c r="N10" i="41"/>
  <c r="N8" i="40" s="1"/>
  <c r="D10" i="41"/>
  <c r="D8" i="40" s="1"/>
  <c r="I10" i="41"/>
  <c r="I8" i="40" s="1"/>
  <c r="E10" i="41"/>
  <c r="E8" i="40" s="1"/>
  <c r="F10" i="41"/>
  <c r="F8" i="40" s="1"/>
  <c r="K10" i="41"/>
  <c r="K8" i="40" s="1"/>
  <c r="H10" i="41"/>
  <c r="H8" i="40" s="1"/>
  <c r="C10" i="41"/>
  <c r="I15" i="41"/>
  <c r="I13" i="40" s="1"/>
  <c r="N15" i="41"/>
  <c r="N13" i="40" s="1"/>
  <c r="M15" i="41"/>
  <c r="M13" i="40" s="1"/>
  <c r="J15" i="41"/>
  <c r="J13" i="40" s="1"/>
  <c r="L15" i="41"/>
  <c r="L13" i="40" s="1"/>
  <c r="D15" i="41"/>
  <c r="D13" i="40" s="1"/>
  <c r="G15" i="41"/>
  <c r="G13" i="40" s="1"/>
  <c r="F15" i="41"/>
  <c r="F13" i="40" s="1"/>
  <c r="E15" i="41"/>
  <c r="E13" i="40" s="1"/>
  <c r="H15" i="41"/>
  <c r="H13" i="40" s="1"/>
  <c r="K15" i="41"/>
  <c r="K13" i="40" s="1"/>
  <c r="C15" i="41"/>
  <c r="N13" i="41"/>
  <c r="N11" i="40" s="1"/>
  <c r="M13" i="41"/>
  <c r="M11" i="40" s="1"/>
  <c r="J13" i="41"/>
  <c r="J11" i="40" s="1"/>
  <c r="G13" i="41"/>
  <c r="G11" i="40" s="1"/>
  <c r="L13" i="41"/>
  <c r="L11" i="40" s="1"/>
  <c r="D13" i="41"/>
  <c r="D11" i="40" s="1"/>
  <c r="I13" i="41"/>
  <c r="I11" i="40" s="1"/>
  <c r="H13" i="41"/>
  <c r="H11" i="40" s="1"/>
  <c r="F13" i="41"/>
  <c r="F11" i="40" s="1"/>
  <c r="K13" i="41"/>
  <c r="K11" i="40" s="1"/>
  <c r="E13" i="41"/>
  <c r="E11" i="40" s="1"/>
  <c r="C13" i="41"/>
  <c r="N8" i="41"/>
  <c r="N6" i="40" s="1"/>
  <c r="M8" i="41"/>
  <c r="M6" i="40" s="1"/>
  <c r="L8" i="41"/>
  <c r="L6" i="40" s="1"/>
  <c r="D8" i="41"/>
  <c r="D6" i="40" s="1"/>
  <c r="J8" i="41"/>
  <c r="J6" i="40" s="1"/>
  <c r="G8" i="41"/>
  <c r="G6" i="40" s="1"/>
  <c r="K8" i="41"/>
  <c r="K6" i="40" s="1"/>
  <c r="I8" i="41"/>
  <c r="I6" i="40" s="1"/>
  <c r="E8" i="41"/>
  <c r="E6" i="40" s="1"/>
  <c r="F8" i="41"/>
  <c r="F6" i="40" s="1"/>
  <c r="H8" i="41"/>
  <c r="H6" i="40" s="1"/>
  <c r="C8" i="41"/>
  <c r="M26" i="41"/>
  <c r="M24" i="40" s="1"/>
  <c r="J26" i="41"/>
  <c r="J24" i="40" s="1"/>
  <c r="L26" i="41"/>
  <c r="L24" i="40" s="1"/>
  <c r="G26" i="41"/>
  <c r="G24" i="40" s="1"/>
  <c r="N26" i="41"/>
  <c r="N24" i="40" s="1"/>
  <c r="D26" i="41"/>
  <c r="D24" i="40" s="1"/>
  <c r="I26" i="41"/>
  <c r="I24" i="40" s="1"/>
  <c r="F26" i="41"/>
  <c r="F24" i="40" s="1"/>
  <c r="K26" i="41"/>
  <c r="K24" i="40" s="1"/>
  <c r="H26" i="41"/>
  <c r="H24" i="40" s="1"/>
  <c r="E26" i="41"/>
  <c r="E24" i="40" s="1"/>
  <c r="C26" i="41"/>
  <c r="H22" i="5"/>
  <c r="B20" i="48"/>
  <c r="H12" i="5"/>
  <c r="B10" i="48"/>
  <c r="H15" i="5"/>
  <c r="B13" i="48"/>
  <c r="H21" i="5"/>
  <c r="B19" i="48"/>
  <c r="H20" i="5"/>
  <c r="B18" i="48"/>
  <c r="H18" i="5"/>
  <c r="B16" i="48"/>
  <c r="B8" i="48"/>
  <c r="M20" i="41"/>
  <c r="M18" i="40" s="1"/>
  <c r="D20" i="41"/>
  <c r="D18" i="40" s="1"/>
  <c r="G20" i="41"/>
  <c r="G18" i="40" s="1"/>
  <c r="L20" i="41"/>
  <c r="L18" i="40" s="1"/>
  <c r="J20" i="41"/>
  <c r="J18" i="40" s="1"/>
  <c r="N20" i="41"/>
  <c r="N18" i="40" s="1"/>
  <c r="I20" i="41"/>
  <c r="I18" i="40" s="1"/>
  <c r="F20" i="41"/>
  <c r="F18" i="40" s="1"/>
  <c r="H20" i="41"/>
  <c r="H18" i="40" s="1"/>
  <c r="K20" i="41"/>
  <c r="K18" i="40" s="1"/>
  <c r="E20" i="41"/>
  <c r="E18" i="40" s="1"/>
  <c r="C20" i="41"/>
  <c r="L19" i="41"/>
  <c r="L17" i="40" s="1"/>
  <c r="N19" i="41"/>
  <c r="N17" i="40" s="1"/>
  <c r="M19" i="41"/>
  <c r="M17" i="40" s="1"/>
  <c r="D19" i="41"/>
  <c r="D17" i="40" s="1"/>
  <c r="G19" i="41"/>
  <c r="G17" i="40" s="1"/>
  <c r="J19" i="41"/>
  <c r="J17" i="40" s="1"/>
  <c r="K19" i="41"/>
  <c r="K17" i="40" s="1"/>
  <c r="F19" i="41"/>
  <c r="F17" i="40" s="1"/>
  <c r="E19" i="41"/>
  <c r="E17" i="40" s="1"/>
  <c r="I19" i="41"/>
  <c r="I17" i="40" s="1"/>
  <c r="H19" i="41"/>
  <c r="H17" i="40" s="1"/>
  <c r="C19" i="41"/>
  <c r="L17" i="41"/>
  <c r="L15" i="40" s="1"/>
  <c r="D17" i="41"/>
  <c r="D15" i="40" s="1"/>
  <c r="I17" i="41"/>
  <c r="I15" i="40" s="1"/>
  <c r="N17" i="41"/>
  <c r="N15" i="40" s="1"/>
  <c r="M17" i="41"/>
  <c r="M15" i="40" s="1"/>
  <c r="J17" i="41"/>
  <c r="J15" i="40" s="1"/>
  <c r="G17" i="41"/>
  <c r="G15" i="40" s="1"/>
  <c r="H17" i="41"/>
  <c r="H15" i="40" s="1"/>
  <c r="E17" i="41"/>
  <c r="E15" i="40" s="1"/>
  <c r="F17" i="41"/>
  <c r="F15" i="40" s="1"/>
  <c r="K17" i="41"/>
  <c r="K15" i="40" s="1"/>
  <c r="C17" i="41"/>
  <c r="J22" i="41"/>
  <c r="J20" i="40" s="1"/>
  <c r="L22" i="41"/>
  <c r="L20" i="40" s="1"/>
  <c r="G22" i="41"/>
  <c r="G20" i="40" s="1"/>
  <c r="N22" i="41"/>
  <c r="N20" i="40" s="1"/>
  <c r="D22" i="41"/>
  <c r="D20" i="40" s="1"/>
  <c r="M22" i="41"/>
  <c r="M20" i="40" s="1"/>
  <c r="K22" i="41"/>
  <c r="K20" i="40" s="1"/>
  <c r="I22" i="41"/>
  <c r="I20" i="40" s="1"/>
  <c r="H22" i="41"/>
  <c r="H20" i="40" s="1"/>
  <c r="E22" i="41"/>
  <c r="E20" i="40" s="1"/>
  <c r="F22" i="41"/>
  <c r="F20" i="40" s="1"/>
  <c r="C22" i="41"/>
  <c r="L11" i="48"/>
  <c r="H11" i="48"/>
  <c r="E11" i="48"/>
  <c r="K11" i="48"/>
  <c r="C11" i="48"/>
  <c r="F11" i="48"/>
  <c r="M11" i="48"/>
  <c r="J11" i="48"/>
  <c r="G11" i="48"/>
  <c r="N11" i="48"/>
  <c r="I11" i="48"/>
  <c r="D11" i="48"/>
  <c r="H17" i="5"/>
  <c r="B15" i="48"/>
  <c r="H28" i="5"/>
  <c r="B26" i="48"/>
  <c r="H19" i="5"/>
  <c r="B17" i="48"/>
  <c r="G24" i="41"/>
  <c r="G22" i="40" s="1"/>
  <c r="M24" i="41"/>
  <c r="M22" i="40" s="1"/>
  <c r="L24" i="41"/>
  <c r="L22" i="40" s="1"/>
  <c r="D24" i="41"/>
  <c r="D22" i="40" s="1"/>
  <c r="N24" i="41"/>
  <c r="N22" i="40" s="1"/>
  <c r="J24" i="41"/>
  <c r="J22" i="40" s="1"/>
  <c r="H24" i="41"/>
  <c r="H22" i="40" s="1"/>
  <c r="K24" i="41"/>
  <c r="K22" i="40" s="1"/>
  <c r="I24" i="41"/>
  <c r="I22" i="40" s="1"/>
  <c r="E24" i="41"/>
  <c r="E22" i="40" s="1"/>
  <c r="F24" i="41"/>
  <c r="F22" i="40" s="1"/>
  <c r="C24" i="41"/>
  <c r="C12" i="47"/>
  <c r="M12" i="47"/>
  <c r="K12" i="47"/>
  <c r="G12" i="47"/>
  <c r="F12" i="47"/>
  <c r="L12" i="47"/>
  <c r="E12" i="47"/>
  <c r="D12" i="47"/>
  <c r="J12" i="47"/>
  <c r="N12" i="47"/>
  <c r="B27" i="47"/>
  <c r="H12" i="47"/>
  <c r="I12" i="47"/>
  <c r="F23" i="4"/>
  <c r="G23" i="4" s="1"/>
  <c r="F26" i="22"/>
  <c r="F21" i="4"/>
  <c r="F11" i="4"/>
  <c r="C24" i="13"/>
  <c r="D24" i="13" s="1"/>
  <c r="F24" i="22"/>
  <c r="C22" i="14"/>
  <c r="D22" i="14" s="1"/>
  <c r="F25" i="4"/>
  <c r="C26" i="14"/>
  <c r="D26" i="14" s="1"/>
  <c r="F16" i="22"/>
  <c r="G16" i="22"/>
  <c r="F30" i="22"/>
  <c r="G30" i="22"/>
  <c r="F22" i="22"/>
  <c r="G22" i="22"/>
  <c r="F27" i="22"/>
  <c r="G27" i="22"/>
  <c r="F15" i="22"/>
  <c r="G15" i="22"/>
  <c r="F18" i="22"/>
  <c r="G18" i="22"/>
  <c r="F12" i="22"/>
  <c r="G12" i="22"/>
  <c r="F29" i="22"/>
  <c r="G29" i="22"/>
  <c r="F14" i="22"/>
  <c r="G14" i="22"/>
  <c r="F11" i="22"/>
  <c r="G11" i="22"/>
  <c r="E31" i="22"/>
  <c r="F23" i="22"/>
  <c r="G23" i="22"/>
  <c r="F20" i="22"/>
  <c r="G20" i="22"/>
  <c r="C12" i="13"/>
  <c r="D12" i="13" s="1"/>
  <c r="F28" i="22"/>
  <c r="G28" i="22"/>
  <c r="F21" i="22"/>
  <c r="G21" i="22"/>
  <c r="F19" i="22"/>
  <c r="G19" i="22"/>
  <c r="F25" i="22"/>
  <c r="G25" i="22"/>
  <c r="F17" i="22"/>
  <c r="G17" i="22"/>
  <c r="C12" i="14"/>
  <c r="D12" i="14" s="1"/>
  <c r="C26" i="13"/>
  <c r="D26" i="13" s="1"/>
  <c r="L15" i="5"/>
  <c r="AB21" i="3"/>
  <c r="G21" i="7"/>
  <c r="H21" i="7" s="1"/>
  <c r="AC21" i="3" s="1"/>
  <c r="AB19" i="3"/>
  <c r="G19" i="7"/>
  <c r="H19" i="7" s="1"/>
  <c r="AC19" i="3" s="1"/>
  <c r="AB9" i="3"/>
  <c r="G9" i="7"/>
  <c r="AB25" i="3"/>
  <c r="G25" i="7"/>
  <c r="H25" i="7" s="1"/>
  <c r="AC25" i="3" s="1"/>
  <c r="AB23" i="3"/>
  <c r="G23" i="7"/>
  <c r="H23" i="7" s="1"/>
  <c r="AC23" i="3" s="1"/>
  <c r="AB18" i="3"/>
  <c r="G18" i="7"/>
  <c r="H18" i="7" s="1"/>
  <c r="AC18" i="3" s="1"/>
  <c r="AB20" i="3"/>
  <c r="G20" i="7"/>
  <c r="H20" i="7" s="1"/>
  <c r="AC20" i="3" s="1"/>
  <c r="AB13" i="3"/>
  <c r="G13" i="7"/>
  <c r="H13" i="7" s="1"/>
  <c r="AC13" i="3" s="1"/>
  <c r="AB11" i="3"/>
  <c r="G11" i="7"/>
  <c r="H11" i="7" s="1"/>
  <c r="AC11" i="3" s="1"/>
  <c r="AB27" i="3"/>
  <c r="G27" i="7"/>
  <c r="H27" i="7" s="1"/>
  <c r="AC27" i="3" s="1"/>
  <c r="AB16" i="3"/>
  <c r="G16" i="7"/>
  <c r="H16" i="7" s="1"/>
  <c r="AC16" i="3" s="1"/>
  <c r="AB12" i="3"/>
  <c r="G12" i="7"/>
  <c r="H12" i="7" s="1"/>
  <c r="AC12" i="3" s="1"/>
  <c r="AB17" i="3"/>
  <c r="G17" i="7"/>
  <c r="H17" i="7" s="1"/>
  <c r="AC17" i="3" s="1"/>
  <c r="AB15" i="3"/>
  <c r="G15" i="7"/>
  <c r="H15" i="7" s="1"/>
  <c r="AC15" i="3" s="1"/>
  <c r="AB10" i="3"/>
  <c r="G10" i="7"/>
  <c r="H10" i="7" s="1"/>
  <c r="AC10" i="3" s="1"/>
  <c r="AB28" i="3"/>
  <c r="G28" i="7"/>
  <c r="H28" i="7" s="1"/>
  <c r="AC28" i="3" s="1"/>
  <c r="AB22" i="3"/>
  <c r="G22" i="7"/>
  <c r="H22" i="7" s="1"/>
  <c r="AC22" i="3" s="1"/>
  <c r="AB24" i="3"/>
  <c r="G24" i="7"/>
  <c r="H24" i="7" s="1"/>
  <c r="AC24" i="3" s="1"/>
  <c r="AB26" i="3"/>
  <c r="G26" i="7"/>
  <c r="H26" i="7" s="1"/>
  <c r="AC26" i="3" s="1"/>
  <c r="F13" i="4"/>
  <c r="C14" i="14"/>
  <c r="D14" i="14" s="1"/>
  <c r="C14" i="13"/>
  <c r="D14" i="13" s="1"/>
  <c r="F8" i="4"/>
  <c r="C9" i="14"/>
  <c r="D9" i="14" s="1"/>
  <c r="C9" i="13"/>
  <c r="F22" i="4"/>
  <c r="C23" i="14"/>
  <c r="D23" i="14" s="1"/>
  <c r="C23" i="13"/>
  <c r="D23" i="13" s="1"/>
  <c r="F14" i="4"/>
  <c r="C15" i="14"/>
  <c r="D15" i="14" s="1"/>
  <c r="C15" i="13"/>
  <c r="D15" i="13" s="1"/>
  <c r="G21" i="4"/>
  <c r="F20" i="4"/>
  <c r="C21" i="14"/>
  <c r="D21" i="14" s="1"/>
  <c r="C21" i="13"/>
  <c r="D21" i="13" s="1"/>
  <c r="F18" i="4"/>
  <c r="C19" i="14"/>
  <c r="D19" i="14" s="1"/>
  <c r="C19" i="13"/>
  <c r="D19" i="13" s="1"/>
  <c r="F16" i="4"/>
  <c r="C17" i="14"/>
  <c r="D17" i="14" s="1"/>
  <c r="C17" i="13"/>
  <c r="D17" i="13" s="1"/>
  <c r="F24" i="4"/>
  <c r="C25" i="14"/>
  <c r="D25" i="14" s="1"/>
  <c r="C25" i="13"/>
  <c r="D25" i="13" s="1"/>
  <c r="F12" i="4"/>
  <c r="C13" i="14"/>
  <c r="D13" i="14" s="1"/>
  <c r="C13" i="13"/>
  <c r="D13" i="13" s="1"/>
  <c r="G11" i="4"/>
  <c r="F9" i="4"/>
  <c r="C10" i="14"/>
  <c r="D10" i="14" s="1"/>
  <c r="C10" i="13"/>
  <c r="D10" i="13" s="1"/>
  <c r="F17" i="4"/>
  <c r="C18" i="14"/>
  <c r="D18" i="14" s="1"/>
  <c r="C18" i="13"/>
  <c r="D18" i="13" s="1"/>
  <c r="F15" i="4"/>
  <c r="C16" i="14"/>
  <c r="D16" i="14" s="1"/>
  <c r="C16" i="13"/>
  <c r="D16" i="13" s="1"/>
  <c r="F27" i="4"/>
  <c r="C28" i="14"/>
  <c r="D28" i="14" s="1"/>
  <c r="C28" i="13"/>
  <c r="D28" i="13" s="1"/>
  <c r="F19" i="4"/>
  <c r="C20" i="14"/>
  <c r="D20" i="14" s="1"/>
  <c r="C20" i="13"/>
  <c r="D20" i="13" s="1"/>
  <c r="F26" i="4"/>
  <c r="C27" i="14"/>
  <c r="D27" i="14" s="1"/>
  <c r="C27" i="13"/>
  <c r="D27" i="13" s="1"/>
  <c r="G10" i="4"/>
  <c r="G25" i="4"/>
  <c r="R13" i="5"/>
  <c r="S13" i="5" s="1"/>
  <c r="U13" i="3" s="1"/>
  <c r="H13" i="5"/>
  <c r="R26" i="5"/>
  <c r="S26" i="5" s="1"/>
  <c r="U26" i="3" s="1"/>
  <c r="K26" i="5"/>
  <c r="G57" i="5" s="1"/>
  <c r="V29" i="5"/>
  <c r="X29" i="5"/>
  <c r="AG25" i="5"/>
  <c r="AH25" i="5" s="1"/>
  <c r="AG23" i="5"/>
  <c r="AH23" i="5" s="1"/>
  <c r="R24" i="5"/>
  <c r="S24" i="5" s="1"/>
  <c r="U24" i="3" s="1"/>
  <c r="AG16" i="5"/>
  <c r="AH16" i="5" s="1"/>
  <c r="R25" i="5"/>
  <c r="S25" i="5" s="1"/>
  <c r="U25" i="3" s="1"/>
  <c r="J28" i="4"/>
  <c r="K20" i="4" s="1"/>
  <c r="F23" i="8"/>
  <c r="H23" i="8" s="1"/>
  <c r="F22" i="8"/>
  <c r="H22" i="8" s="1"/>
  <c r="F18" i="8"/>
  <c r="H18" i="8" s="1"/>
  <c r="F27" i="8"/>
  <c r="H27" i="8" s="1"/>
  <c r="F20" i="8"/>
  <c r="H20" i="8" s="1"/>
  <c r="F16" i="8"/>
  <c r="H16" i="8" s="1"/>
  <c r="F24" i="8"/>
  <c r="H24" i="8" s="1"/>
  <c r="F25" i="8"/>
  <c r="H25" i="8" s="1"/>
  <c r="F17" i="8"/>
  <c r="H17" i="8" s="1"/>
  <c r="F11" i="8"/>
  <c r="H11" i="8" s="1"/>
  <c r="F13" i="8"/>
  <c r="H13" i="8" s="1"/>
  <c r="F21" i="8"/>
  <c r="H21" i="8" s="1"/>
  <c r="F28" i="8"/>
  <c r="H28" i="8" s="1"/>
  <c r="F10" i="8"/>
  <c r="H10" i="8" s="1"/>
  <c r="F15" i="8"/>
  <c r="H15" i="8" s="1"/>
  <c r="F9" i="8"/>
  <c r="H9" i="8" s="1"/>
  <c r="F26" i="8"/>
  <c r="H26" i="8" s="1"/>
  <c r="F14" i="8"/>
  <c r="H14" i="8" s="1"/>
  <c r="F19" i="8"/>
  <c r="H19" i="8" s="1"/>
  <c r="R17" i="5"/>
  <c r="S17" i="5" s="1"/>
  <c r="U17" i="3" s="1"/>
  <c r="G46" i="5"/>
  <c r="H46" i="5" s="1"/>
  <c r="R16" i="5"/>
  <c r="S16" i="5" s="1"/>
  <c r="U16" i="3" s="1"/>
  <c r="AG29" i="5"/>
  <c r="AH29" i="5" s="1"/>
  <c r="AG15" i="5"/>
  <c r="AH15" i="5" s="1"/>
  <c r="R15" i="5"/>
  <c r="S15" i="5" s="1"/>
  <c r="U15" i="3" s="1"/>
  <c r="AG12" i="5"/>
  <c r="AH12" i="5" s="1"/>
  <c r="AG26" i="5"/>
  <c r="AH26" i="5" s="1"/>
  <c r="AG13" i="5"/>
  <c r="AH13" i="5" s="1"/>
  <c r="E28" i="4"/>
  <c r="AG17" i="5"/>
  <c r="AH17" i="5" s="1"/>
  <c r="R21" i="5"/>
  <c r="S21" i="5" s="1"/>
  <c r="U21" i="3" s="1"/>
  <c r="R27" i="5"/>
  <c r="S27" i="5" s="1"/>
  <c r="U27" i="3" s="1"/>
  <c r="R12" i="5"/>
  <c r="S12" i="5" s="1"/>
  <c r="U12" i="3" s="1"/>
  <c r="AG27" i="5"/>
  <c r="AH27" i="5" s="1"/>
  <c r="AG11" i="5"/>
  <c r="AH11" i="5" s="1"/>
  <c r="AG24" i="5"/>
  <c r="AH24" i="5" s="1"/>
  <c r="AG21" i="5"/>
  <c r="AH21" i="5" s="1"/>
  <c r="R22" i="5"/>
  <c r="S22" i="5" s="1"/>
  <c r="U22" i="3" s="1"/>
  <c r="F29" i="7"/>
  <c r="L23" i="5"/>
  <c r="G54" i="5"/>
  <c r="R10" i="5"/>
  <c r="S10" i="5" s="1"/>
  <c r="U10" i="3" s="1"/>
  <c r="AG10" i="5"/>
  <c r="AH10" i="5" s="1"/>
  <c r="AG18" i="5"/>
  <c r="AH18" i="5" s="1"/>
  <c r="AG9" i="5"/>
  <c r="AH9" i="5" s="1"/>
  <c r="R20" i="5"/>
  <c r="S20" i="5" s="1"/>
  <c r="U20" i="3" s="1"/>
  <c r="R28" i="5"/>
  <c r="S28" i="5" s="1"/>
  <c r="U28" i="3" s="1"/>
  <c r="R19" i="5"/>
  <c r="S19" i="5" s="1"/>
  <c r="U19" i="3" s="1"/>
  <c r="AG14" i="5"/>
  <c r="AH14" i="5" s="1"/>
  <c r="R14" i="5"/>
  <c r="S14" i="5" s="1"/>
  <c r="U14" i="3" s="1"/>
  <c r="R18" i="5"/>
  <c r="S18" i="5" s="1"/>
  <c r="U18" i="3" s="1"/>
  <c r="G51" i="5"/>
  <c r="L20" i="5"/>
  <c r="G43" i="5"/>
  <c r="L12" i="5"/>
  <c r="R23" i="5"/>
  <c r="S23" i="5" s="1"/>
  <c r="U23" i="3" s="1"/>
  <c r="Z26" i="5"/>
  <c r="G52" i="5"/>
  <c r="L21" i="5"/>
  <c r="G47" i="5"/>
  <c r="L16" i="5"/>
  <c r="G53" i="5"/>
  <c r="L22" i="5"/>
  <c r="G40" i="5"/>
  <c r="L9" i="5"/>
  <c r="AG20" i="5"/>
  <c r="AH20" i="5" s="1"/>
  <c r="L19" i="5"/>
  <c r="G50" i="5"/>
  <c r="G42" i="5"/>
  <c r="L11" i="5"/>
  <c r="L28" i="5"/>
  <c r="G59" i="5"/>
  <c r="L27" i="5"/>
  <c r="G58" i="5"/>
  <c r="G48" i="5"/>
  <c r="L17" i="5"/>
  <c r="G55" i="5"/>
  <c r="L24" i="5"/>
  <c r="K29" i="5"/>
  <c r="G49" i="5"/>
  <c r="L18" i="5"/>
  <c r="AG22" i="5"/>
  <c r="AH22" i="5" s="1"/>
  <c r="R9" i="5"/>
  <c r="AG28" i="5"/>
  <c r="AH28" i="5" s="1"/>
  <c r="L25" i="5"/>
  <c r="G56" i="5"/>
  <c r="AG19" i="5"/>
  <c r="AH19" i="5" s="1"/>
  <c r="R11" i="5"/>
  <c r="S11" i="5" s="1"/>
  <c r="U11" i="3" s="1"/>
  <c r="I27" i="47" l="1"/>
  <c r="J27" i="47"/>
  <c r="F27" i="47"/>
  <c r="C27" i="47"/>
  <c r="O12" i="47"/>
  <c r="I9" i="46"/>
  <c r="I8" i="57"/>
  <c r="M8" i="57"/>
  <c r="M9" i="46"/>
  <c r="E8" i="57"/>
  <c r="E9" i="46"/>
  <c r="H18" i="48"/>
  <c r="L18" i="48"/>
  <c r="M18" i="48"/>
  <c r="J18" i="48"/>
  <c r="K18" i="48"/>
  <c r="F18" i="48"/>
  <c r="C18" i="48"/>
  <c r="E18" i="48"/>
  <c r="D18" i="48"/>
  <c r="G18" i="48"/>
  <c r="N18" i="48"/>
  <c r="I18" i="48"/>
  <c r="H13" i="48"/>
  <c r="L13" i="48"/>
  <c r="K13" i="48"/>
  <c r="C13" i="48"/>
  <c r="E13" i="48"/>
  <c r="G13" i="48"/>
  <c r="M13" i="48"/>
  <c r="J13" i="48"/>
  <c r="D13" i="48"/>
  <c r="F13" i="48"/>
  <c r="N13" i="48"/>
  <c r="I13" i="48"/>
  <c r="L20" i="48"/>
  <c r="H20" i="48"/>
  <c r="K20" i="48"/>
  <c r="F20" i="48"/>
  <c r="C20" i="48"/>
  <c r="E20" i="48"/>
  <c r="M20" i="48"/>
  <c r="J20" i="48"/>
  <c r="N20" i="48"/>
  <c r="G20" i="48"/>
  <c r="D20" i="48"/>
  <c r="I20" i="48"/>
  <c r="H24" i="48"/>
  <c r="L24" i="48"/>
  <c r="C24" i="48"/>
  <c r="G24" i="48"/>
  <c r="E24" i="48"/>
  <c r="M24" i="48"/>
  <c r="J24" i="48"/>
  <c r="K24" i="48"/>
  <c r="F24" i="48"/>
  <c r="I24" i="48"/>
  <c r="N24" i="48"/>
  <c r="D24" i="48"/>
  <c r="B27" i="48"/>
  <c r="H7" i="48"/>
  <c r="L7" i="48"/>
  <c r="K7" i="48"/>
  <c r="M7" i="48"/>
  <c r="E7" i="48"/>
  <c r="J7" i="48"/>
  <c r="C7" i="48"/>
  <c r="G7" i="48"/>
  <c r="F7" i="48"/>
  <c r="D7" i="48"/>
  <c r="N7" i="48"/>
  <c r="I7" i="48"/>
  <c r="N15" i="46"/>
  <c r="C5" i="40"/>
  <c r="C27" i="41"/>
  <c r="O7" i="41"/>
  <c r="E5" i="40"/>
  <c r="E25" i="40" s="1"/>
  <c r="E27" i="41"/>
  <c r="M5" i="40"/>
  <c r="M25" i="40" s="1"/>
  <c r="M27" i="41"/>
  <c r="H27" i="47"/>
  <c r="D27" i="47"/>
  <c r="G27" i="47"/>
  <c r="C22" i="40"/>
  <c r="O22" i="40" s="1"/>
  <c r="O24" i="41"/>
  <c r="L17" i="48"/>
  <c r="H17" i="48"/>
  <c r="F17" i="48"/>
  <c r="C17" i="48"/>
  <c r="E17" i="48"/>
  <c r="E14" i="57" s="1"/>
  <c r="M17" i="48"/>
  <c r="M14" i="57" s="1"/>
  <c r="J17" i="48"/>
  <c r="J14" i="57" s="1"/>
  <c r="G17" i="48"/>
  <c r="G14" i="57" s="1"/>
  <c r="K17" i="48"/>
  <c r="N17" i="48"/>
  <c r="N14" i="57" s="1"/>
  <c r="I17" i="48"/>
  <c r="D17" i="48"/>
  <c r="L15" i="48"/>
  <c r="H15" i="48"/>
  <c r="M15" i="48"/>
  <c r="J15" i="48"/>
  <c r="K15" i="48"/>
  <c r="E15" i="48"/>
  <c r="C15" i="48"/>
  <c r="G15" i="48"/>
  <c r="F15" i="48"/>
  <c r="D15" i="48"/>
  <c r="I15" i="48"/>
  <c r="N15" i="48"/>
  <c r="N9" i="46"/>
  <c r="N8" i="57"/>
  <c r="F8" i="57"/>
  <c r="F9" i="46"/>
  <c r="H9" i="46"/>
  <c r="H8" i="57"/>
  <c r="H14" i="57"/>
  <c r="H15" i="46"/>
  <c r="L14" i="57"/>
  <c r="L15" i="46"/>
  <c r="I14" i="57"/>
  <c r="I15" i="46"/>
  <c r="C16" i="40"/>
  <c r="O16" i="40" s="1"/>
  <c r="O18" i="41"/>
  <c r="L14" i="48"/>
  <c r="H14" i="48"/>
  <c r="J14" i="48"/>
  <c r="K14" i="48"/>
  <c r="C14" i="48"/>
  <c r="G14" i="48"/>
  <c r="F14" i="48"/>
  <c r="E14" i="48"/>
  <c r="M14" i="48"/>
  <c r="N14" i="48"/>
  <c r="D14" i="48"/>
  <c r="I14" i="48"/>
  <c r="L23" i="48"/>
  <c r="K23" i="48"/>
  <c r="M23" i="48"/>
  <c r="C23" i="48"/>
  <c r="H23" i="48"/>
  <c r="E23" i="48"/>
  <c r="J23" i="48"/>
  <c r="G23" i="48"/>
  <c r="F23" i="48"/>
  <c r="D23" i="48"/>
  <c r="I23" i="48"/>
  <c r="N23" i="48"/>
  <c r="L12" i="48"/>
  <c r="E12" i="48"/>
  <c r="E9" i="57" s="1"/>
  <c r="M12" i="48"/>
  <c r="M10" i="46" s="1"/>
  <c r="J12" i="48"/>
  <c r="J9" i="57" s="1"/>
  <c r="H12" i="48"/>
  <c r="H10" i="46" s="1"/>
  <c r="K12" i="48"/>
  <c r="K9" i="57" s="1"/>
  <c r="C12" i="48"/>
  <c r="G12" i="48"/>
  <c r="G10" i="46" s="1"/>
  <c r="D12" i="48"/>
  <c r="D9" i="57" s="1"/>
  <c r="F12" i="48"/>
  <c r="F9" i="57" s="1"/>
  <c r="N12" i="48"/>
  <c r="I12" i="48"/>
  <c r="I9" i="57" s="1"/>
  <c r="F5" i="40"/>
  <c r="F25" i="40" s="1"/>
  <c r="F27" i="41"/>
  <c r="H5" i="40"/>
  <c r="H25" i="40" s="1"/>
  <c r="H27" i="41"/>
  <c r="N5" i="40"/>
  <c r="N25" i="40" s="1"/>
  <c r="N27" i="41"/>
  <c r="E10" i="46"/>
  <c r="E27" i="47"/>
  <c r="K27" i="47"/>
  <c r="K10" i="46"/>
  <c r="G8" i="57"/>
  <c r="G9" i="46"/>
  <c r="C8" i="57"/>
  <c r="C9" i="46"/>
  <c r="O11" i="48"/>
  <c r="L9" i="46"/>
  <c r="L8" i="57"/>
  <c r="L16" i="48"/>
  <c r="M16" i="48"/>
  <c r="H16" i="48"/>
  <c r="K16" i="48"/>
  <c r="C16" i="48"/>
  <c r="G16" i="48"/>
  <c r="E16" i="48"/>
  <c r="J16" i="48"/>
  <c r="F16" i="48"/>
  <c r="I16" i="48"/>
  <c r="D16" i="48"/>
  <c r="N16" i="48"/>
  <c r="H19" i="48"/>
  <c r="L19" i="48"/>
  <c r="J19" i="48"/>
  <c r="M19" i="48"/>
  <c r="K19" i="48"/>
  <c r="E19" i="48"/>
  <c r="C19" i="48"/>
  <c r="G19" i="48"/>
  <c r="F19" i="48"/>
  <c r="N19" i="48"/>
  <c r="I19" i="48"/>
  <c r="D19" i="48"/>
  <c r="H10" i="48"/>
  <c r="L10" i="48"/>
  <c r="M10" i="48"/>
  <c r="E10" i="48"/>
  <c r="J10" i="48"/>
  <c r="K10" i="48"/>
  <c r="C10" i="48"/>
  <c r="G10" i="48"/>
  <c r="F10" i="48"/>
  <c r="D10" i="48"/>
  <c r="I10" i="48"/>
  <c r="N10" i="48"/>
  <c r="C24" i="40"/>
  <c r="O24" i="40" s="1"/>
  <c r="O26" i="41"/>
  <c r="C6" i="40"/>
  <c r="O6" i="40" s="1"/>
  <c r="O8" i="41"/>
  <c r="C11" i="40"/>
  <c r="O11" i="40" s="1"/>
  <c r="O13" i="41"/>
  <c r="C13" i="40"/>
  <c r="O13" i="40" s="1"/>
  <c r="O15" i="41"/>
  <c r="C8" i="40"/>
  <c r="O8" i="40" s="1"/>
  <c r="O10" i="41"/>
  <c r="O22" i="47"/>
  <c r="L22" i="48"/>
  <c r="L19" i="57" s="1"/>
  <c r="H22" i="48"/>
  <c r="H20" i="46" s="1"/>
  <c r="E22" i="48"/>
  <c r="E19" i="57" s="1"/>
  <c r="C22" i="48"/>
  <c r="G22" i="48"/>
  <c r="G19" i="57" s="1"/>
  <c r="F22" i="48"/>
  <c r="F19" i="57" s="1"/>
  <c r="M22" i="48"/>
  <c r="M20" i="46" s="1"/>
  <c r="J22" i="48"/>
  <c r="J19" i="57" s="1"/>
  <c r="K22" i="48"/>
  <c r="K19" i="57" s="1"/>
  <c r="D22" i="48"/>
  <c r="D19" i="57" s="1"/>
  <c r="I22" i="48"/>
  <c r="I20" i="46" s="1"/>
  <c r="N22" i="48"/>
  <c r="H21" i="48"/>
  <c r="L21" i="48"/>
  <c r="G21" i="48"/>
  <c r="J21" i="48"/>
  <c r="E21" i="48"/>
  <c r="C21" i="48"/>
  <c r="M21" i="48"/>
  <c r="K21" i="48"/>
  <c r="F21" i="48"/>
  <c r="N21" i="48"/>
  <c r="I21" i="48"/>
  <c r="D21" i="48"/>
  <c r="J15" i="46"/>
  <c r="M15" i="46"/>
  <c r="K15" i="46"/>
  <c r="K14" i="57"/>
  <c r="I5" i="40"/>
  <c r="I25" i="40" s="1"/>
  <c r="I27" i="41"/>
  <c r="G5" i="40"/>
  <c r="G25" i="40" s="1"/>
  <c r="G27" i="41"/>
  <c r="L5" i="40"/>
  <c r="L25" i="40" s="1"/>
  <c r="L27" i="41"/>
  <c r="N27" i="47"/>
  <c r="N10" i="46"/>
  <c r="N9" i="57"/>
  <c r="L27" i="47"/>
  <c r="L10" i="46"/>
  <c r="L9" i="57"/>
  <c r="M27" i="47"/>
  <c r="M9" i="57"/>
  <c r="L26" i="48"/>
  <c r="H26" i="48"/>
  <c r="M26" i="48"/>
  <c r="J26" i="48"/>
  <c r="K26" i="48"/>
  <c r="F26" i="48"/>
  <c r="E26" i="48"/>
  <c r="C26" i="48"/>
  <c r="G26" i="48"/>
  <c r="N26" i="48"/>
  <c r="D26" i="48"/>
  <c r="I26" i="48"/>
  <c r="D8" i="57"/>
  <c r="D9" i="46"/>
  <c r="J8" i="57"/>
  <c r="J9" i="46"/>
  <c r="K9" i="46"/>
  <c r="K8" i="57"/>
  <c r="O22" i="41"/>
  <c r="C20" i="40"/>
  <c r="O20" i="40" s="1"/>
  <c r="C15" i="40"/>
  <c r="O15" i="40" s="1"/>
  <c r="O17" i="41"/>
  <c r="O19" i="41"/>
  <c r="C17" i="40"/>
  <c r="O17" i="40" s="1"/>
  <c r="C18" i="40"/>
  <c r="O18" i="40" s="1"/>
  <c r="O20" i="41"/>
  <c r="L8" i="48"/>
  <c r="H8" i="48"/>
  <c r="E8" i="48"/>
  <c r="M8" i="48"/>
  <c r="C8" i="48"/>
  <c r="G8" i="48"/>
  <c r="J8" i="48"/>
  <c r="K8" i="48"/>
  <c r="F8" i="48"/>
  <c r="D8" i="48"/>
  <c r="I8" i="48"/>
  <c r="N8" i="48"/>
  <c r="F20" i="46"/>
  <c r="J20" i="46"/>
  <c r="N20" i="46"/>
  <c r="N19" i="57"/>
  <c r="O14" i="41"/>
  <c r="C12" i="40"/>
  <c r="O12" i="40" s="1"/>
  <c r="C23" i="40"/>
  <c r="O23" i="40" s="1"/>
  <c r="O25" i="41"/>
  <c r="O9" i="41"/>
  <c r="C7" i="40"/>
  <c r="O7" i="40" s="1"/>
  <c r="C9" i="40"/>
  <c r="O9" i="40" s="1"/>
  <c r="O11" i="41"/>
  <c r="F15" i="46"/>
  <c r="F14" i="57"/>
  <c r="D14" i="57"/>
  <c r="D15" i="46"/>
  <c r="O17" i="47"/>
  <c r="C15" i="46"/>
  <c r="C14" i="57"/>
  <c r="J25" i="48"/>
  <c r="C25" i="48"/>
  <c r="G25" i="48"/>
  <c r="K25" i="48"/>
  <c r="H25" i="48"/>
  <c r="L25" i="48"/>
  <c r="M25" i="48"/>
  <c r="F25" i="48"/>
  <c r="E25" i="48"/>
  <c r="N25" i="48"/>
  <c r="I25" i="48"/>
  <c r="D25" i="48"/>
  <c r="L9" i="48"/>
  <c r="H9" i="48"/>
  <c r="J9" i="48"/>
  <c r="E9" i="48"/>
  <c r="M9" i="48"/>
  <c r="K9" i="48"/>
  <c r="C9" i="48"/>
  <c r="F9" i="48"/>
  <c r="N9" i="48"/>
  <c r="I9" i="48"/>
  <c r="G9" i="48"/>
  <c r="D9" i="48"/>
  <c r="C14" i="40"/>
  <c r="O14" i="40" s="1"/>
  <c r="O16" i="41"/>
  <c r="C19" i="40"/>
  <c r="O19" i="40" s="1"/>
  <c r="O21" i="41"/>
  <c r="O23" i="41"/>
  <c r="C21" i="40"/>
  <c r="O21" i="40" s="1"/>
  <c r="K5" i="40"/>
  <c r="K25" i="40" s="1"/>
  <c r="K27" i="41"/>
  <c r="D5" i="40"/>
  <c r="D25" i="40" s="1"/>
  <c r="D27" i="41"/>
  <c r="J5" i="40"/>
  <c r="J25" i="40" s="1"/>
  <c r="J27" i="41"/>
  <c r="H29" i="5"/>
  <c r="O22" i="5" s="1"/>
  <c r="F31" i="22"/>
  <c r="G31" i="22"/>
  <c r="U26" i="5"/>
  <c r="L26" i="5"/>
  <c r="G20" i="4"/>
  <c r="G15" i="4"/>
  <c r="G17" i="4"/>
  <c r="G12" i="4"/>
  <c r="G14" i="4"/>
  <c r="C29" i="13"/>
  <c r="D9" i="13"/>
  <c r="G22" i="4"/>
  <c r="L20" i="4"/>
  <c r="M20" i="4" s="1"/>
  <c r="E21" i="14"/>
  <c r="F21" i="14" s="1"/>
  <c r="E21" i="13"/>
  <c r="F21" i="13" s="1"/>
  <c r="G27" i="4"/>
  <c r="G18" i="4"/>
  <c r="G26" i="4"/>
  <c r="G9" i="4"/>
  <c r="G24" i="4"/>
  <c r="F28" i="4"/>
  <c r="G19" i="4"/>
  <c r="G16" i="4"/>
  <c r="G8" i="4"/>
  <c r="G13" i="4"/>
  <c r="U21" i="5"/>
  <c r="G44" i="5"/>
  <c r="H44" i="5" s="1"/>
  <c r="L13" i="5"/>
  <c r="Z13" i="5"/>
  <c r="U13" i="5"/>
  <c r="U24" i="5"/>
  <c r="O19" i="5"/>
  <c r="I46" i="5"/>
  <c r="J46" i="5" s="1"/>
  <c r="O20" i="5"/>
  <c r="P18" i="5"/>
  <c r="Z24" i="5"/>
  <c r="U16" i="5"/>
  <c r="U25" i="5"/>
  <c r="Z25" i="5"/>
  <c r="Z16" i="5"/>
  <c r="U12" i="5"/>
  <c r="K8" i="4"/>
  <c r="K14" i="4"/>
  <c r="K18" i="4"/>
  <c r="K16" i="4"/>
  <c r="K22" i="4"/>
  <c r="K11" i="4"/>
  <c r="K19" i="4"/>
  <c r="K17" i="4"/>
  <c r="K27" i="4"/>
  <c r="K23" i="4"/>
  <c r="K13" i="4"/>
  <c r="K24" i="4"/>
  <c r="K25" i="4"/>
  <c r="K12" i="4"/>
  <c r="K21" i="4"/>
  <c r="K9" i="4"/>
  <c r="K26" i="4"/>
  <c r="K10" i="4"/>
  <c r="K15" i="4"/>
  <c r="H29" i="8"/>
  <c r="I29" i="8" s="1"/>
  <c r="F29" i="8"/>
  <c r="U17" i="5"/>
  <c r="Z17" i="5"/>
  <c r="U22" i="5"/>
  <c r="U15" i="5"/>
  <c r="Z15" i="5"/>
  <c r="U27" i="5"/>
  <c r="Z12" i="5"/>
  <c r="Z27" i="5"/>
  <c r="Z22" i="5"/>
  <c r="Z21" i="5"/>
  <c r="Z18" i="5"/>
  <c r="H9" i="7"/>
  <c r="AC9" i="3" s="1"/>
  <c r="G29" i="7"/>
  <c r="H29" i="7" s="1"/>
  <c r="H59" i="5"/>
  <c r="I59" i="5"/>
  <c r="H57" i="5"/>
  <c r="I57" i="5"/>
  <c r="R29" i="5"/>
  <c r="S29" i="5" s="1"/>
  <c r="S9" i="5"/>
  <c r="U9" i="3" s="1"/>
  <c r="H50" i="5"/>
  <c r="I50" i="5"/>
  <c r="H47" i="5"/>
  <c r="I47" i="5"/>
  <c r="Z14" i="5"/>
  <c r="U14" i="5"/>
  <c r="U28" i="5"/>
  <c r="Z28" i="5"/>
  <c r="H54" i="5"/>
  <c r="I54" i="5"/>
  <c r="H58" i="5"/>
  <c r="I58" i="5"/>
  <c r="P26" i="5"/>
  <c r="P25" i="5"/>
  <c r="P23" i="5"/>
  <c r="P21" i="5"/>
  <c r="P17" i="5"/>
  <c r="P16" i="5"/>
  <c r="P28" i="5"/>
  <c r="P10" i="5"/>
  <c r="P9" i="5"/>
  <c r="P11" i="5"/>
  <c r="P12" i="5"/>
  <c r="U19" i="5"/>
  <c r="Z19" i="5"/>
  <c r="H56" i="5"/>
  <c r="I56" i="5"/>
  <c r="H48" i="5"/>
  <c r="I48" i="5"/>
  <c r="I42" i="5"/>
  <c r="H42" i="5"/>
  <c r="H43" i="5"/>
  <c r="I43" i="5"/>
  <c r="U20" i="5"/>
  <c r="Z20" i="5"/>
  <c r="Z10" i="5"/>
  <c r="U10" i="5"/>
  <c r="U11" i="5"/>
  <c r="Z11" i="5"/>
  <c r="H49" i="5"/>
  <c r="I49" i="5"/>
  <c r="H55" i="5"/>
  <c r="I55" i="5"/>
  <c r="H40" i="5"/>
  <c r="I40" i="5"/>
  <c r="H53" i="5"/>
  <c r="I53" i="5"/>
  <c r="I52" i="5"/>
  <c r="H52" i="5"/>
  <c r="U23" i="5"/>
  <c r="Z23" i="5"/>
  <c r="H51" i="5"/>
  <c r="I51" i="5"/>
  <c r="L14" i="5"/>
  <c r="G45" i="5"/>
  <c r="G41" i="5"/>
  <c r="L10" i="5"/>
  <c r="G6" i="57" l="1"/>
  <c r="G7" i="46"/>
  <c r="C6" i="57"/>
  <c r="O9" i="48"/>
  <c r="C7" i="46"/>
  <c r="J6" i="57"/>
  <c r="J7" i="46"/>
  <c r="I22" i="57"/>
  <c r="I23" i="46"/>
  <c r="M22" i="57"/>
  <c r="M23" i="46"/>
  <c r="G23" i="46"/>
  <c r="G22" i="57"/>
  <c r="D5" i="57"/>
  <c r="D6" i="46"/>
  <c r="G5" i="57"/>
  <c r="G6" i="46"/>
  <c r="H5" i="57"/>
  <c r="H6" i="46"/>
  <c r="I24" i="46"/>
  <c r="I23" i="57"/>
  <c r="C23" i="57"/>
  <c r="C24" i="46"/>
  <c r="O26" i="48"/>
  <c r="J24" i="46"/>
  <c r="J23" i="57"/>
  <c r="N19" i="46"/>
  <c r="N18" i="57"/>
  <c r="C18" i="57"/>
  <c r="C19" i="46"/>
  <c r="O21" i="48"/>
  <c r="L19" i="46"/>
  <c r="L18" i="57"/>
  <c r="G20" i="46"/>
  <c r="N7" i="57"/>
  <c r="N8" i="46"/>
  <c r="G8" i="46"/>
  <c r="G7" i="57"/>
  <c r="E7" i="57"/>
  <c r="E8" i="46"/>
  <c r="D16" i="57"/>
  <c r="D17" i="46"/>
  <c r="G17" i="46"/>
  <c r="G16" i="57"/>
  <c r="M16" i="57"/>
  <c r="M17" i="46"/>
  <c r="N14" i="46"/>
  <c r="N13" i="57"/>
  <c r="J13" i="57"/>
  <c r="J14" i="46"/>
  <c r="K14" i="46"/>
  <c r="K13" i="57"/>
  <c r="O8" i="57"/>
  <c r="C9" i="57"/>
  <c r="O12" i="48"/>
  <c r="I21" i="46"/>
  <c r="I20" i="57"/>
  <c r="J20" i="57"/>
  <c r="J21" i="46"/>
  <c r="M21" i="46"/>
  <c r="M20" i="57"/>
  <c r="D12" i="46"/>
  <c r="D11" i="57"/>
  <c r="F12" i="46"/>
  <c r="F11" i="57"/>
  <c r="J11" i="57"/>
  <c r="J12" i="46"/>
  <c r="L20" i="46"/>
  <c r="F12" i="57"/>
  <c r="F13" i="46"/>
  <c r="K13" i="46"/>
  <c r="K12" i="57"/>
  <c r="L13" i="46"/>
  <c r="L12" i="57"/>
  <c r="G9" i="57"/>
  <c r="O27" i="41"/>
  <c r="G15" i="46"/>
  <c r="D5" i="46"/>
  <c r="D4" i="57"/>
  <c r="D27" i="48"/>
  <c r="J4" i="57"/>
  <c r="J5" i="46"/>
  <c r="J27" i="48"/>
  <c r="L5" i="46"/>
  <c r="L4" i="57"/>
  <c r="L27" i="48"/>
  <c r="N22" i="46"/>
  <c r="N21" i="57"/>
  <c r="J21" i="57"/>
  <c r="J22" i="46"/>
  <c r="C21" i="57"/>
  <c r="C22" i="46"/>
  <c r="O24" i="48"/>
  <c r="I19" i="57"/>
  <c r="D20" i="46"/>
  <c r="N17" i="57"/>
  <c r="N18" i="46"/>
  <c r="C17" i="57"/>
  <c r="O20" i="48"/>
  <c r="C18" i="46"/>
  <c r="L17" i="57"/>
  <c r="L18" i="46"/>
  <c r="D10" i="57"/>
  <c r="D11" i="46"/>
  <c r="E10" i="57"/>
  <c r="E11" i="46"/>
  <c r="H11" i="46"/>
  <c r="H10" i="57"/>
  <c r="D16" i="46"/>
  <c r="D15" i="57"/>
  <c r="K15" i="57"/>
  <c r="K16" i="46"/>
  <c r="H15" i="57"/>
  <c r="H16" i="46"/>
  <c r="J10" i="46"/>
  <c r="I7" i="46"/>
  <c r="I6" i="57"/>
  <c r="K6" i="57"/>
  <c r="K7" i="46"/>
  <c r="H6" i="57"/>
  <c r="H7" i="46"/>
  <c r="N22" i="57"/>
  <c r="N23" i="46"/>
  <c r="L23" i="46"/>
  <c r="L22" i="57"/>
  <c r="C22" i="57"/>
  <c r="O25" i="48"/>
  <c r="C23" i="46"/>
  <c r="F5" i="57"/>
  <c r="F6" i="46"/>
  <c r="C5" i="57"/>
  <c r="O8" i="48"/>
  <c r="C6" i="46"/>
  <c r="L5" i="57"/>
  <c r="L6" i="46"/>
  <c r="D24" i="46"/>
  <c r="D23" i="57"/>
  <c r="E24" i="46"/>
  <c r="E23" i="57"/>
  <c r="M23" i="57"/>
  <c r="M24" i="46"/>
  <c r="F19" i="46"/>
  <c r="F18" i="57"/>
  <c r="E18" i="57"/>
  <c r="E19" i="46"/>
  <c r="H18" i="57"/>
  <c r="H19" i="46"/>
  <c r="K20" i="46"/>
  <c r="I8" i="46"/>
  <c r="I7" i="57"/>
  <c r="C7" i="57"/>
  <c r="O10" i="48"/>
  <c r="C8" i="46"/>
  <c r="M8" i="46"/>
  <c r="M7" i="57"/>
  <c r="I17" i="46"/>
  <c r="I16" i="57"/>
  <c r="C16" i="57"/>
  <c r="O19" i="48"/>
  <c r="C17" i="46"/>
  <c r="J17" i="46"/>
  <c r="J16" i="57"/>
  <c r="D13" i="57"/>
  <c r="D14" i="46"/>
  <c r="E14" i="46"/>
  <c r="E13" i="57"/>
  <c r="H13" i="57"/>
  <c r="H14" i="46"/>
  <c r="D21" i="46"/>
  <c r="D20" i="57"/>
  <c r="E20" i="57"/>
  <c r="E21" i="46"/>
  <c r="K20" i="57"/>
  <c r="K21" i="46"/>
  <c r="N11" i="57"/>
  <c r="N12" i="46"/>
  <c r="G12" i="46"/>
  <c r="G11" i="57"/>
  <c r="H12" i="46"/>
  <c r="H11" i="57"/>
  <c r="E20" i="46"/>
  <c r="N12" i="57"/>
  <c r="N13" i="46"/>
  <c r="G13" i="46"/>
  <c r="G12" i="57"/>
  <c r="J12" i="57"/>
  <c r="J13" i="46"/>
  <c r="O17" i="48"/>
  <c r="F4" i="57"/>
  <c r="F5" i="46"/>
  <c r="F27" i="48"/>
  <c r="E4" i="57"/>
  <c r="E5" i="46"/>
  <c r="E27" i="48"/>
  <c r="H27" i="48"/>
  <c r="H5" i="46"/>
  <c r="H4" i="57"/>
  <c r="I22" i="46"/>
  <c r="I21" i="57"/>
  <c r="M21" i="57"/>
  <c r="M22" i="46"/>
  <c r="L22" i="46"/>
  <c r="L21" i="57"/>
  <c r="H19" i="57"/>
  <c r="I17" i="57"/>
  <c r="I18" i="46"/>
  <c r="J18" i="46"/>
  <c r="J17" i="57"/>
  <c r="F17" i="57"/>
  <c r="F18" i="46"/>
  <c r="I11" i="46"/>
  <c r="I10" i="57"/>
  <c r="J10" i="57"/>
  <c r="J11" i="46"/>
  <c r="C10" i="57"/>
  <c r="O13" i="48"/>
  <c r="C11" i="46"/>
  <c r="I16" i="46"/>
  <c r="I15" i="57"/>
  <c r="E16" i="46"/>
  <c r="E15" i="57"/>
  <c r="J16" i="46"/>
  <c r="J15" i="57"/>
  <c r="O27" i="47"/>
  <c r="N7" i="46"/>
  <c r="N6" i="57"/>
  <c r="M6" i="57"/>
  <c r="M7" i="46"/>
  <c r="L7" i="46"/>
  <c r="L6" i="57"/>
  <c r="E23" i="46"/>
  <c r="E22" i="57"/>
  <c r="H23" i="46"/>
  <c r="H22" i="57"/>
  <c r="J22" i="57"/>
  <c r="J23" i="46"/>
  <c r="N5" i="57"/>
  <c r="N6" i="46"/>
  <c r="K6" i="46"/>
  <c r="K5" i="57"/>
  <c r="M6" i="46"/>
  <c r="M5" i="57"/>
  <c r="N24" i="46"/>
  <c r="N23" i="57"/>
  <c r="F24" i="46"/>
  <c r="F23" i="57"/>
  <c r="H24" i="46"/>
  <c r="H23" i="57"/>
  <c r="D19" i="46"/>
  <c r="D18" i="57"/>
  <c r="K18" i="57"/>
  <c r="K19" i="46"/>
  <c r="J19" i="46"/>
  <c r="J18" i="57"/>
  <c r="C19" i="57"/>
  <c r="O22" i="48"/>
  <c r="C20" i="46"/>
  <c r="O20" i="46" s="1"/>
  <c r="D8" i="46"/>
  <c r="D7" i="57"/>
  <c r="K8" i="46"/>
  <c r="K7" i="57"/>
  <c r="L8" i="46"/>
  <c r="L7" i="57"/>
  <c r="N17" i="46"/>
  <c r="N16" i="57"/>
  <c r="E16" i="57"/>
  <c r="E17" i="46"/>
  <c r="L16" i="57"/>
  <c r="L17" i="46"/>
  <c r="I14" i="46"/>
  <c r="I13" i="57"/>
  <c r="G13" i="57"/>
  <c r="G14" i="46"/>
  <c r="M14" i="46"/>
  <c r="M13" i="57"/>
  <c r="F20" i="57"/>
  <c r="F21" i="46"/>
  <c r="H21" i="46"/>
  <c r="H20" i="57"/>
  <c r="L20" i="57"/>
  <c r="L21" i="46"/>
  <c r="M12" i="46"/>
  <c r="M11" i="57"/>
  <c r="C11" i="57"/>
  <c r="C12" i="46"/>
  <c r="O14" i="48"/>
  <c r="L11" i="57"/>
  <c r="L12" i="46"/>
  <c r="M19" i="57"/>
  <c r="I13" i="46"/>
  <c r="I12" i="57"/>
  <c r="C12" i="57"/>
  <c r="O15" i="48"/>
  <c r="C13" i="46"/>
  <c r="M12" i="57"/>
  <c r="M13" i="46"/>
  <c r="D10" i="46"/>
  <c r="H9" i="57"/>
  <c r="O5" i="40"/>
  <c r="O25" i="40" s="1"/>
  <c r="C25" i="40"/>
  <c r="I4" i="57"/>
  <c r="I27" i="48"/>
  <c r="I5" i="46"/>
  <c r="G4" i="57"/>
  <c r="G27" i="48"/>
  <c r="G5" i="46"/>
  <c r="M5" i="46"/>
  <c r="M4" i="57"/>
  <c r="M27" i="48"/>
  <c r="F21" i="57"/>
  <c r="F22" i="46"/>
  <c r="E21" i="57"/>
  <c r="E22" i="46"/>
  <c r="H22" i="46"/>
  <c r="H21" i="57"/>
  <c r="D18" i="46"/>
  <c r="D17" i="57"/>
  <c r="M17" i="57"/>
  <c r="M18" i="46"/>
  <c r="K17" i="57"/>
  <c r="K18" i="46"/>
  <c r="N11" i="46"/>
  <c r="N10" i="57"/>
  <c r="M10" i="57"/>
  <c r="M11" i="46"/>
  <c r="K11" i="46"/>
  <c r="K10" i="57"/>
  <c r="N15" i="57"/>
  <c r="N16" i="46"/>
  <c r="C15" i="57"/>
  <c r="C16" i="46"/>
  <c r="O18" i="48"/>
  <c r="M16" i="46"/>
  <c r="M15" i="57"/>
  <c r="F10" i="46"/>
  <c r="I10" i="46"/>
  <c r="D6" i="57"/>
  <c r="D7" i="46"/>
  <c r="F7" i="46"/>
  <c r="F6" i="57"/>
  <c r="E6" i="57"/>
  <c r="E7" i="46"/>
  <c r="D22" i="57"/>
  <c r="D23" i="46"/>
  <c r="F22" i="57"/>
  <c r="F23" i="46"/>
  <c r="K22" i="57"/>
  <c r="K23" i="46"/>
  <c r="O14" i="57"/>
  <c r="I5" i="57"/>
  <c r="I6" i="46"/>
  <c r="J5" i="57"/>
  <c r="J6" i="46"/>
  <c r="E5" i="57"/>
  <c r="E6" i="46"/>
  <c r="G23" i="57"/>
  <c r="G24" i="46"/>
  <c r="K23" i="57"/>
  <c r="K24" i="46"/>
  <c r="L24" i="46"/>
  <c r="L23" i="57"/>
  <c r="I19" i="46"/>
  <c r="I18" i="57"/>
  <c r="M19" i="46"/>
  <c r="M18" i="57"/>
  <c r="G19" i="46"/>
  <c r="G18" i="57"/>
  <c r="F7" i="57"/>
  <c r="F8" i="46"/>
  <c r="J7" i="57"/>
  <c r="J8" i="46"/>
  <c r="H7" i="57"/>
  <c r="H8" i="46"/>
  <c r="F17" i="46"/>
  <c r="F16" i="57"/>
  <c r="K17" i="46"/>
  <c r="K16" i="57"/>
  <c r="H17" i="46"/>
  <c r="H16" i="57"/>
  <c r="F13" i="57"/>
  <c r="F14" i="46"/>
  <c r="C13" i="57"/>
  <c r="O16" i="48"/>
  <c r="C14" i="46"/>
  <c r="L13" i="57"/>
  <c r="L14" i="46"/>
  <c r="O9" i="46"/>
  <c r="N21" i="46"/>
  <c r="N20" i="57"/>
  <c r="G21" i="46"/>
  <c r="G20" i="57"/>
  <c r="O23" i="48"/>
  <c r="C20" i="57"/>
  <c r="O20" i="57" s="1"/>
  <c r="C21" i="46"/>
  <c r="O21" i="46" s="1"/>
  <c r="I12" i="46"/>
  <c r="I11" i="57"/>
  <c r="E12" i="46"/>
  <c r="E11" i="57"/>
  <c r="K11" i="57"/>
  <c r="K12" i="46"/>
  <c r="D13" i="46"/>
  <c r="D12" i="57"/>
  <c r="E12" i="57"/>
  <c r="E13" i="46"/>
  <c r="H13" i="46"/>
  <c r="H12" i="57"/>
  <c r="E15" i="46"/>
  <c r="O15" i="46" s="1"/>
  <c r="N27" i="48"/>
  <c r="N5" i="46"/>
  <c r="N25" i="46" s="1"/>
  <c r="N4" i="57"/>
  <c r="N24" i="57" s="1"/>
  <c r="C4" i="57"/>
  <c r="C5" i="46"/>
  <c r="C27" i="48"/>
  <c r="O27" i="48" s="1"/>
  <c r="O7" i="48"/>
  <c r="K4" i="57"/>
  <c r="K27" i="48"/>
  <c r="K5" i="46"/>
  <c r="K25" i="46" s="1"/>
  <c r="D22" i="46"/>
  <c r="D21" i="57"/>
  <c r="K22" i="46"/>
  <c r="K21" i="57"/>
  <c r="G21" i="57"/>
  <c r="G22" i="46"/>
  <c r="G17" i="57"/>
  <c r="G18" i="46"/>
  <c r="E18" i="46"/>
  <c r="E17" i="57"/>
  <c r="H18" i="46"/>
  <c r="H17" i="57"/>
  <c r="F11" i="46"/>
  <c r="F10" i="57"/>
  <c r="G10" i="57"/>
  <c r="G11" i="46"/>
  <c r="L10" i="57"/>
  <c r="L11" i="46"/>
  <c r="G16" i="46"/>
  <c r="G15" i="57"/>
  <c r="F16" i="46"/>
  <c r="F15" i="57"/>
  <c r="L16" i="46"/>
  <c r="L15" i="57"/>
  <c r="C10" i="46"/>
  <c r="O10" i="46" s="1"/>
  <c r="O15" i="5"/>
  <c r="P15" i="5" s="1"/>
  <c r="O27" i="5"/>
  <c r="Q27" i="5" s="1"/>
  <c r="W27" i="3" s="1"/>
  <c r="G60" i="5"/>
  <c r="H60" i="5" s="1"/>
  <c r="O14" i="5"/>
  <c r="P14" i="5" s="1"/>
  <c r="O29" i="5"/>
  <c r="O24" i="5"/>
  <c r="P24" i="5" s="1"/>
  <c r="P19" i="5"/>
  <c r="P22" i="5"/>
  <c r="P20" i="5"/>
  <c r="P27" i="5"/>
  <c r="H18" i="22"/>
  <c r="I18" i="22" s="1"/>
  <c r="J18" i="22" s="1"/>
  <c r="K18" i="22" s="1"/>
  <c r="L18" i="22" s="1"/>
  <c r="H24" i="22"/>
  <c r="I24" i="22" s="1"/>
  <c r="H26" i="22"/>
  <c r="I26" i="22" s="1"/>
  <c r="J26" i="22" s="1"/>
  <c r="K26" i="22" s="1"/>
  <c r="L26" i="22" s="1"/>
  <c r="H13" i="22"/>
  <c r="I13" i="22" s="1"/>
  <c r="J13" i="22" s="1"/>
  <c r="K13" i="22" s="1"/>
  <c r="L13" i="22" s="1"/>
  <c r="H17" i="22"/>
  <c r="I17" i="22" s="1"/>
  <c r="H12" i="22"/>
  <c r="I12" i="22" s="1"/>
  <c r="H25" i="22"/>
  <c r="I25" i="22" s="1"/>
  <c r="J25" i="22" s="1"/>
  <c r="K25" i="22" s="1"/>
  <c r="L25" i="22" s="1"/>
  <c r="H16" i="22"/>
  <c r="I16" i="22" s="1"/>
  <c r="H14" i="22"/>
  <c r="I14" i="22" s="1"/>
  <c r="J14" i="22" s="1"/>
  <c r="K14" i="22" s="1"/>
  <c r="L14" i="22" s="1"/>
  <c r="H30" i="22"/>
  <c r="I30" i="22" s="1"/>
  <c r="J30" i="22" s="1"/>
  <c r="K30" i="22" s="1"/>
  <c r="L30" i="22" s="1"/>
  <c r="H28" i="22"/>
  <c r="I28" i="22" s="1"/>
  <c r="J28" i="22" s="1"/>
  <c r="K28" i="22" s="1"/>
  <c r="L28" i="22" s="1"/>
  <c r="H22" i="22"/>
  <c r="I22" i="22" s="1"/>
  <c r="J22" i="22" s="1"/>
  <c r="K22" i="22" s="1"/>
  <c r="L22" i="22" s="1"/>
  <c r="H20" i="22"/>
  <c r="I20" i="22" s="1"/>
  <c r="H27" i="22"/>
  <c r="I27" i="22" s="1"/>
  <c r="J27" i="22" s="1"/>
  <c r="K27" i="22" s="1"/>
  <c r="L27" i="22" s="1"/>
  <c r="H23" i="22"/>
  <c r="I23" i="22" s="1"/>
  <c r="J23" i="22" s="1"/>
  <c r="K23" i="22" s="1"/>
  <c r="L23" i="22" s="1"/>
  <c r="H11" i="22"/>
  <c r="H19" i="22"/>
  <c r="I19" i="22" s="1"/>
  <c r="J19" i="22" s="1"/>
  <c r="K19" i="22" s="1"/>
  <c r="L19" i="22" s="1"/>
  <c r="H15" i="22"/>
  <c r="I15" i="22" s="1"/>
  <c r="J15" i="22" s="1"/>
  <c r="K15" i="22" s="1"/>
  <c r="L15" i="22" s="1"/>
  <c r="H21" i="22"/>
  <c r="I21" i="22" s="1"/>
  <c r="J21" i="22" s="1"/>
  <c r="K21" i="22" s="1"/>
  <c r="L21" i="22" s="1"/>
  <c r="H29" i="22"/>
  <c r="I29" i="22" s="1"/>
  <c r="J29" i="22" s="1"/>
  <c r="K29" i="22" s="1"/>
  <c r="L29" i="22" s="1"/>
  <c r="I44" i="5"/>
  <c r="J44" i="5" s="1"/>
  <c r="O20" i="4"/>
  <c r="P20" i="4" s="1"/>
  <c r="L10" i="4"/>
  <c r="E11" i="14"/>
  <c r="F11" i="14" s="1"/>
  <c r="E11" i="13"/>
  <c r="F11" i="13" s="1"/>
  <c r="L23" i="4"/>
  <c r="E24" i="14"/>
  <c r="F24" i="14" s="1"/>
  <c r="E24" i="13"/>
  <c r="F24" i="13" s="1"/>
  <c r="L14" i="4"/>
  <c r="O14" i="4" s="1"/>
  <c r="P14" i="4" s="1"/>
  <c r="E15" i="14"/>
  <c r="F15" i="14" s="1"/>
  <c r="E15" i="13"/>
  <c r="F15" i="13" s="1"/>
  <c r="L26" i="4"/>
  <c r="E27" i="14"/>
  <c r="F27" i="14" s="1"/>
  <c r="E27" i="13"/>
  <c r="F27" i="13" s="1"/>
  <c r="L25" i="4"/>
  <c r="O25" i="4" s="1"/>
  <c r="P25" i="4" s="1"/>
  <c r="E26" i="14"/>
  <c r="F26" i="14" s="1"/>
  <c r="E26" i="13"/>
  <c r="F26" i="13" s="1"/>
  <c r="L27" i="4"/>
  <c r="E28" i="14"/>
  <c r="F28" i="14" s="1"/>
  <c r="E28" i="13"/>
  <c r="F28" i="13" s="1"/>
  <c r="L22" i="4"/>
  <c r="O22" i="4" s="1"/>
  <c r="P22" i="4" s="1"/>
  <c r="E23" i="14"/>
  <c r="F23" i="14" s="1"/>
  <c r="E23" i="13"/>
  <c r="F23" i="13" s="1"/>
  <c r="L8" i="4"/>
  <c r="E9" i="14"/>
  <c r="F9" i="14" s="1"/>
  <c r="E9" i="13"/>
  <c r="L12" i="4"/>
  <c r="O12" i="4" s="1"/>
  <c r="P12" i="4" s="1"/>
  <c r="E13" i="14"/>
  <c r="F13" i="14" s="1"/>
  <c r="E13" i="13"/>
  <c r="F13" i="13" s="1"/>
  <c r="L11" i="4"/>
  <c r="O11" i="4" s="1"/>
  <c r="P11" i="4" s="1"/>
  <c r="E12" i="14"/>
  <c r="F12" i="14" s="1"/>
  <c r="E12" i="13"/>
  <c r="F12" i="13" s="1"/>
  <c r="L9" i="4"/>
  <c r="O9" i="4" s="1"/>
  <c r="P9" i="4" s="1"/>
  <c r="E10" i="14"/>
  <c r="F10" i="14" s="1"/>
  <c r="E10" i="13"/>
  <c r="F10" i="13" s="1"/>
  <c r="L24" i="4"/>
  <c r="E25" i="14"/>
  <c r="F25" i="14" s="1"/>
  <c r="E25" i="13"/>
  <c r="F25" i="13" s="1"/>
  <c r="L17" i="4"/>
  <c r="O17" i="4" s="1"/>
  <c r="P17" i="4" s="1"/>
  <c r="E18" i="14"/>
  <c r="F18" i="14" s="1"/>
  <c r="E18" i="13"/>
  <c r="F18" i="13" s="1"/>
  <c r="L16" i="4"/>
  <c r="E17" i="14"/>
  <c r="F17" i="14" s="1"/>
  <c r="E17" i="13"/>
  <c r="F17" i="13" s="1"/>
  <c r="L15" i="4"/>
  <c r="O15" i="4" s="1"/>
  <c r="P15" i="4" s="1"/>
  <c r="E16" i="14"/>
  <c r="F16" i="14" s="1"/>
  <c r="E16" i="13"/>
  <c r="F16" i="13" s="1"/>
  <c r="L21" i="4"/>
  <c r="E22" i="14"/>
  <c r="F22" i="14" s="1"/>
  <c r="E22" i="13"/>
  <c r="F22" i="13" s="1"/>
  <c r="L13" i="4"/>
  <c r="O13" i="4" s="1"/>
  <c r="P13" i="4" s="1"/>
  <c r="E14" i="14"/>
  <c r="F14" i="14" s="1"/>
  <c r="E14" i="13"/>
  <c r="F14" i="13" s="1"/>
  <c r="L19" i="4"/>
  <c r="O19" i="4" s="1"/>
  <c r="P19" i="4" s="1"/>
  <c r="E20" i="14"/>
  <c r="F20" i="14" s="1"/>
  <c r="E20" i="13"/>
  <c r="F20" i="13" s="1"/>
  <c r="L18" i="4"/>
  <c r="O18" i="4" s="1"/>
  <c r="P18" i="4" s="1"/>
  <c r="E19" i="14"/>
  <c r="F19" i="14" s="1"/>
  <c r="E19" i="13"/>
  <c r="F19" i="13" s="1"/>
  <c r="G28" i="4"/>
  <c r="N20" i="4"/>
  <c r="O26" i="4"/>
  <c r="P26" i="4" s="1"/>
  <c r="O8" i="4"/>
  <c r="P8" i="4" s="1"/>
  <c r="O24" i="4"/>
  <c r="P24" i="4" s="1"/>
  <c r="O16" i="4"/>
  <c r="P16" i="4" s="1"/>
  <c r="O10" i="4"/>
  <c r="P10" i="4" s="1"/>
  <c r="K28" i="4"/>
  <c r="I15" i="8"/>
  <c r="I20" i="8"/>
  <c r="I26" i="8"/>
  <c r="I16" i="8"/>
  <c r="I11" i="8"/>
  <c r="I10" i="8"/>
  <c r="I13" i="8"/>
  <c r="I28" i="8"/>
  <c r="I22" i="8"/>
  <c r="I19" i="8"/>
  <c r="I25" i="8"/>
  <c r="I21" i="8"/>
  <c r="I18" i="8"/>
  <c r="I12" i="8"/>
  <c r="I24" i="8"/>
  <c r="I9" i="8"/>
  <c r="B7" i="38" s="1"/>
  <c r="I23" i="8"/>
  <c r="I17" i="8"/>
  <c r="I27" i="8"/>
  <c r="I14" i="8"/>
  <c r="J50" i="5"/>
  <c r="J42" i="5"/>
  <c r="Q11" i="5"/>
  <c r="W11" i="3" s="1"/>
  <c r="J47" i="5"/>
  <c r="Q19" i="5"/>
  <c r="W19" i="3" s="1"/>
  <c r="J49" i="5"/>
  <c r="J52" i="5"/>
  <c r="Q10" i="5"/>
  <c r="W10" i="3" s="1"/>
  <c r="Q21" i="5"/>
  <c r="W21" i="3" s="1"/>
  <c r="J48" i="5"/>
  <c r="J40" i="5"/>
  <c r="J43" i="5"/>
  <c r="J58" i="5"/>
  <c r="Q17" i="5"/>
  <c r="W17" i="3" s="1"/>
  <c r="J53" i="5"/>
  <c r="Q22" i="5"/>
  <c r="W22" i="3" s="1"/>
  <c r="J56" i="5"/>
  <c r="J54" i="5"/>
  <c r="Q25" i="5"/>
  <c r="W25" i="3" s="1"/>
  <c r="Q26" i="5"/>
  <c r="W26" i="3" s="1"/>
  <c r="H45" i="5"/>
  <c r="I45" i="5"/>
  <c r="J51" i="5"/>
  <c r="J55" i="5"/>
  <c r="Q23" i="5"/>
  <c r="W23" i="3" s="1"/>
  <c r="P13" i="5"/>
  <c r="Q13" i="5"/>
  <c r="W13" i="3" s="1"/>
  <c r="Q18" i="5"/>
  <c r="W18" i="3" s="1"/>
  <c r="J57" i="5"/>
  <c r="Q16" i="5"/>
  <c r="W16" i="3" s="1"/>
  <c r="Q9" i="5"/>
  <c r="W9" i="3" s="1"/>
  <c r="Q12" i="5"/>
  <c r="W12" i="3" s="1"/>
  <c r="Q20" i="5"/>
  <c r="W20" i="3" s="1"/>
  <c r="Z9" i="5"/>
  <c r="Z29" i="5" s="1"/>
  <c r="U9" i="5"/>
  <c r="U29" i="5" s="1"/>
  <c r="H41" i="5"/>
  <c r="I41" i="5"/>
  <c r="L29" i="5"/>
  <c r="Q28" i="5"/>
  <c r="W28" i="3" s="1"/>
  <c r="J59" i="5"/>
  <c r="X19" i="3" l="1"/>
  <c r="B17" i="38"/>
  <c r="X14" i="3"/>
  <c r="B12" i="38"/>
  <c r="E7" i="38"/>
  <c r="G7" i="38"/>
  <c r="I7" i="38"/>
  <c r="M7" i="38"/>
  <c r="F7" i="38"/>
  <c r="J7" i="38"/>
  <c r="H7" i="38"/>
  <c r="N7" i="38"/>
  <c r="C7" i="38"/>
  <c r="K7" i="38"/>
  <c r="D7" i="38"/>
  <c r="L7" i="38"/>
  <c r="X21" i="3"/>
  <c r="B19" i="38"/>
  <c r="X28" i="3"/>
  <c r="B26" i="38"/>
  <c r="X16" i="3"/>
  <c r="B14" i="38"/>
  <c r="K24" i="57"/>
  <c r="O4" i="57"/>
  <c r="C24" i="57"/>
  <c r="O16" i="46"/>
  <c r="M25" i="46"/>
  <c r="I25" i="46"/>
  <c r="O19" i="57"/>
  <c r="O10" i="57"/>
  <c r="O7" i="57"/>
  <c r="O5" i="57"/>
  <c r="O21" i="57"/>
  <c r="D24" i="57"/>
  <c r="O24" i="46"/>
  <c r="X27" i="3"/>
  <c r="B25" i="38"/>
  <c r="X24" i="3"/>
  <c r="B22" i="38"/>
  <c r="X25" i="3"/>
  <c r="B23" i="38"/>
  <c r="X13" i="3"/>
  <c r="B11" i="38"/>
  <c r="X26" i="3"/>
  <c r="B24" i="38"/>
  <c r="O13" i="57"/>
  <c r="O15" i="57"/>
  <c r="G25" i="46"/>
  <c r="O13" i="46"/>
  <c r="F25" i="46"/>
  <c r="O16" i="57"/>
  <c r="O22" i="57"/>
  <c r="O17" i="57"/>
  <c r="J25" i="46"/>
  <c r="D25" i="46"/>
  <c r="O9" i="57"/>
  <c r="O19" i="46"/>
  <c r="O23" i="57"/>
  <c r="O6" i="57"/>
  <c r="X17" i="3"/>
  <c r="B15" i="38"/>
  <c r="I24" i="57"/>
  <c r="O12" i="46"/>
  <c r="O11" i="46"/>
  <c r="H24" i="57"/>
  <c r="E25" i="46"/>
  <c r="F24" i="57"/>
  <c r="O8" i="46"/>
  <c r="O6" i="46"/>
  <c r="L24" i="57"/>
  <c r="J24" i="57"/>
  <c r="O18" i="57"/>
  <c r="X12" i="3"/>
  <c r="B10" i="38"/>
  <c r="X10" i="3"/>
  <c r="B8" i="38"/>
  <c r="X20" i="3"/>
  <c r="B18" i="38"/>
  <c r="X23" i="3"/>
  <c r="B21" i="38"/>
  <c r="X18" i="3"/>
  <c r="B16" i="38"/>
  <c r="X22" i="3"/>
  <c r="B20" i="38"/>
  <c r="X11" i="3"/>
  <c r="B9" i="38"/>
  <c r="X15" i="3"/>
  <c r="B13" i="38"/>
  <c r="O5" i="46"/>
  <c r="C25" i="46"/>
  <c r="O14" i="46"/>
  <c r="M24" i="57"/>
  <c r="G24" i="57"/>
  <c r="O12" i="57"/>
  <c r="O11" i="57"/>
  <c r="H25" i="46"/>
  <c r="E24" i="57"/>
  <c r="O17" i="46"/>
  <c r="O23" i="46"/>
  <c r="O18" i="46"/>
  <c r="O22" i="46"/>
  <c r="L25" i="46"/>
  <c r="O7" i="46"/>
  <c r="Q14" i="5"/>
  <c r="W14" i="3" s="1"/>
  <c r="Q15" i="5"/>
  <c r="W15" i="3" s="1"/>
  <c r="Q24" i="5"/>
  <c r="W24" i="3" s="1"/>
  <c r="H31" i="22"/>
  <c r="I11" i="22"/>
  <c r="J16" i="22"/>
  <c r="K16" i="22" s="1"/>
  <c r="L16" i="22" s="1"/>
  <c r="J12" i="22"/>
  <c r="K12" i="22" s="1"/>
  <c r="L12" i="22" s="1"/>
  <c r="J24" i="22"/>
  <c r="K24" i="22" s="1"/>
  <c r="L24" i="22" s="1"/>
  <c r="J20" i="22"/>
  <c r="K20" i="22" s="1"/>
  <c r="L20" i="22" s="1"/>
  <c r="J17" i="22"/>
  <c r="K17" i="22" s="1"/>
  <c r="L17" i="22" s="1"/>
  <c r="X9" i="3"/>
  <c r="J9" i="8"/>
  <c r="M9" i="4"/>
  <c r="N9" i="4" s="1"/>
  <c r="E29" i="13"/>
  <c r="F9" i="13"/>
  <c r="M27" i="4"/>
  <c r="N27" i="4" s="1"/>
  <c r="L28" i="4"/>
  <c r="M21" i="4"/>
  <c r="N21" i="4" s="1"/>
  <c r="M24" i="4"/>
  <c r="N24" i="4" s="1"/>
  <c r="M22" i="4"/>
  <c r="N22" i="4" s="1"/>
  <c r="M14" i="4"/>
  <c r="N14" i="4" s="1"/>
  <c r="M18" i="4"/>
  <c r="N18" i="4" s="1"/>
  <c r="M15" i="4"/>
  <c r="N15" i="4" s="1"/>
  <c r="M13" i="4"/>
  <c r="N13" i="4" s="1"/>
  <c r="M17" i="4"/>
  <c r="N17" i="4" s="1"/>
  <c r="M12" i="4"/>
  <c r="N12" i="4" s="1"/>
  <c r="M8" i="4"/>
  <c r="N8" i="4" s="1"/>
  <c r="M26" i="4"/>
  <c r="N26" i="4" s="1"/>
  <c r="M23" i="4"/>
  <c r="N23" i="4" s="1"/>
  <c r="O23" i="4"/>
  <c r="P23" i="4" s="1"/>
  <c r="O21" i="4"/>
  <c r="P21" i="4" s="1"/>
  <c r="O27" i="4"/>
  <c r="P27" i="4" s="1"/>
  <c r="M19" i="4"/>
  <c r="N19" i="4" s="1"/>
  <c r="M16" i="4"/>
  <c r="N16" i="4" s="1"/>
  <c r="M11" i="4"/>
  <c r="N11" i="4" s="1"/>
  <c r="M25" i="4"/>
  <c r="N25" i="4" s="1"/>
  <c r="M10" i="4"/>
  <c r="N10" i="4" s="1"/>
  <c r="J10" i="8"/>
  <c r="K10" i="8" s="1"/>
  <c r="Y10" i="3" s="1"/>
  <c r="L15" i="8"/>
  <c r="N15" i="8" s="1"/>
  <c r="J15" i="8"/>
  <c r="K15" i="8" s="1"/>
  <c r="Y15" i="3" s="1"/>
  <c r="J26" i="8"/>
  <c r="K26" i="8" s="1"/>
  <c r="Y26" i="3" s="1"/>
  <c r="L20" i="8"/>
  <c r="N20" i="8" s="1"/>
  <c r="J20" i="8"/>
  <c r="K20" i="8" s="1"/>
  <c r="Y20" i="3" s="1"/>
  <c r="L13" i="8"/>
  <c r="N13" i="8" s="1"/>
  <c r="L26" i="8"/>
  <c r="N26" i="8" s="1"/>
  <c r="L9" i="8"/>
  <c r="N9" i="8" s="1"/>
  <c r="J16" i="8"/>
  <c r="K16" i="8" s="1"/>
  <c r="Y16" i="3" s="1"/>
  <c r="L25" i="8"/>
  <c r="N25" i="8" s="1"/>
  <c r="L16" i="8"/>
  <c r="N16" i="8" s="1"/>
  <c r="J12" i="8"/>
  <c r="K12" i="8" s="1"/>
  <c r="Y12" i="3" s="1"/>
  <c r="J28" i="8"/>
  <c r="K28" i="8" s="1"/>
  <c r="Y28" i="3" s="1"/>
  <c r="L18" i="8"/>
  <c r="N18" i="8" s="1"/>
  <c r="J14" i="8"/>
  <c r="K14" i="8" s="1"/>
  <c r="Y14" i="3" s="1"/>
  <c r="L28" i="8"/>
  <c r="N28" i="8" s="1"/>
  <c r="J21" i="8"/>
  <c r="K21" i="8" s="1"/>
  <c r="Y21" i="3" s="1"/>
  <c r="J13" i="8"/>
  <c r="K13" i="8" s="1"/>
  <c r="Y13" i="3" s="1"/>
  <c r="J25" i="8"/>
  <c r="K25" i="8" s="1"/>
  <c r="Y25" i="3" s="1"/>
  <c r="L11" i="8"/>
  <c r="N11" i="8" s="1"/>
  <c r="L19" i="8"/>
  <c r="N19" i="8" s="1"/>
  <c r="J11" i="8"/>
  <c r="K11" i="8" s="1"/>
  <c r="Y11" i="3" s="1"/>
  <c r="L17" i="8"/>
  <c r="N17" i="8" s="1"/>
  <c r="J19" i="8"/>
  <c r="K19" i="8" s="1"/>
  <c r="Y19" i="3" s="1"/>
  <c r="L10" i="8"/>
  <c r="N10" i="8" s="1"/>
  <c r="J22" i="8"/>
  <c r="K22" i="8" s="1"/>
  <c r="Y22" i="3" s="1"/>
  <c r="L22" i="8"/>
  <c r="N22" i="8" s="1"/>
  <c r="J18" i="8"/>
  <c r="K18" i="8" s="1"/>
  <c r="Y18" i="3" s="1"/>
  <c r="J24" i="8"/>
  <c r="K24" i="8" s="1"/>
  <c r="Y24" i="3" s="1"/>
  <c r="L24" i="8"/>
  <c r="N24" i="8" s="1"/>
  <c r="L21" i="8"/>
  <c r="N21" i="8" s="1"/>
  <c r="L12" i="8"/>
  <c r="N12" i="8" s="1"/>
  <c r="J27" i="8"/>
  <c r="K27" i="8" s="1"/>
  <c r="Y27" i="3" s="1"/>
  <c r="L27" i="8"/>
  <c r="N27" i="8" s="1"/>
  <c r="J17" i="8"/>
  <c r="K17" i="8" s="1"/>
  <c r="Y17" i="3" s="1"/>
  <c r="J23" i="8"/>
  <c r="K23" i="8" s="1"/>
  <c r="Y23" i="3" s="1"/>
  <c r="L14" i="8"/>
  <c r="N14" i="8" s="1"/>
  <c r="L23" i="8"/>
  <c r="N23" i="8" s="1"/>
  <c r="J45" i="5"/>
  <c r="I60" i="5"/>
  <c r="J41" i="5"/>
  <c r="P29" i="5"/>
  <c r="J11" i="38" l="1"/>
  <c r="J9" i="37" s="1"/>
  <c r="M11" i="38"/>
  <c r="M9" i="37" s="1"/>
  <c r="N11" i="38"/>
  <c r="N9" i="37" s="1"/>
  <c r="H11" i="38"/>
  <c r="H9" i="37" s="1"/>
  <c r="C11" i="38"/>
  <c r="K11" i="38"/>
  <c r="K9" i="37" s="1"/>
  <c r="D11" i="38"/>
  <c r="D9" i="37" s="1"/>
  <c r="L11" i="38"/>
  <c r="L9" i="37" s="1"/>
  <c r="I11" i="38"/>
  <c r="I9" i="37" s="1"/>
  <c r="F11" i="38"/>
  <c r="F9" i="37" s="1"/>
  <c r="E11" i="38"/>
  <c r="E9" i="37" s="1"/>
  <c r="G11" i="38"/>
  <c r="G9" i="37" s="1"/>
  <c r="C22" i="38"/>
  <c r="K22" i="38"/>
  <c r="K20" i="37" s="1"/>
  <c r="H22" i="38"/>
  <c r="H20" i="37" s="1"/>
  <c r="I22" i="38"/>
  <c r="I20" i="37" s="1"/>
  <c r="G22" i="38"/>
  <c r="G20" i="37" s="1"/>
  <c r="D22" i="38"/>
  <c r="D20" i="37" s="1"/>
  <c r="L22" i="38"/>
  <c r="L20" i="37" s="1"/>
  <c r="F22" i="38"/>
  <c r="F20" i="37" s="1"/>
  <c r="E22" i="38"/>
  <c r="E20" i="37" s="1"/>
  <c r="N22" i="38"/>
  <c r="N20" i="37" s="1"/>
  <c r="J22" i="38"/>
  <c r="J20" i="37" s="1"/>
  <c r="M22" i="38"/>
  <c r="M20" i="37" s="1"/>
  <c r="D5" i="37"/>
  <c r="H5" i="37"/>
  <c r="I5" i="37"/>
  <c r="F12" i="38"/>
  <c r="F10" i="37" s="1"/>
  <c r="N12" i="38"/>
  <c r="N10" i="37" s="1"/>
  <c r="E12" i="38"/>
  <c r="E10" i="37" s="1"/>
  <c r="H12" i="38"/>
  <c r="H10" i="37" s="1"/>
  <c r="C12" i="38"/>
  <c r="K12" i="38"/>
  <c r="K10" i="37" s="1"/>
  <c r="I12" i="38"/>
  <c r="I10" i="37" s="1"/>
  <c r="J12" i="38"/>
  <c r="J10" i="37" s="1"/>
  <c r="G12" i="38"/>
  <c r="G10" i="37" s="1"/>
  <c r="D12" i="38"/>
  <c r="D10" i="37" s="1"/>
  <c r="L12" i="38"/>
  <c r="L10" i="37" s="1"/>
  <c r="M12" i="38"/>
  <c r="M10" i="37" s="1"/>
  <c r="O25" i="46"/>
  <c r="F9" i="38"/>
  <c r="F7" i="37" s="1"/>
  <c r="N9" i="38"/>
  <c r="N7" i="37" s="1"/>
  <c r="I9" i="38"/>
  <c r="I7" i="37" s="1"/>
  <c r="H9" i="38"/>
  <c r="H7" i="37" s="1"/>
  <c r="G9" i="38"/>
  <c r="G7" i="37" s="1"/>
  <c r="J9" i="38"/>
  <c r="J7" i="37" s="1"/>
  <c r="E9" i="38"/>
  <c r="E7" i="37" s="1"/>
  <c r="C9" i="38"/>
  <c r="K9" i="38"/>
  <c r="K7" i="37" s="1"/>
  <c r="D9" i="38"/>
  <c r="D7" i="37" s="1"/>
  <c r="L9" i="38"/>
  <c r="L7" i="37" s="1"/>
  <c r="M9" i="38"/>
  <c r="M7" i="37" s="1"/>
  <c r="H16" i="38"/>
  <c r="H14" i="37" s="1"/>
  <c r="E16" i="38"/>
  <c r="E14" i="37" s="1"/>
  <c r="C16" i="38"/>
  <c r="K16" i="38"/>
  <c r="K14" i="37" s="1"/>
  <c r="D16" i="38"/>
  <c r="D14" i="37" s="1"/>
  <c r="L16" i="38"/>
  <c r="L14" i="37" s="1"/>
  <c r="J16" i="38"/>
  <c r="J14" i="37" s="1"/>
  <c r="M16" i="38"/>
  <c r="M14" i="37" s="1"/>
  <c r="F16" i="38"/>
  <c r="F14" i="37" s="1"/>
  <c r="N16" i="38"/>
  <c r="N14" i="37" s="1"/>
  <c r="G16" i="38"/>
  <c r="G14" i="37" s="1"/>
  <c r="I16" i="38"/>
  <c r="I14" i="37" s="1"/>
  <c r="F18" i="38"/>
  <c r="F16" i="37" s="1"/>
  <c r="J18" i="38"/>
  <c r="J16" i="37" s="1"/>
  <c r="H18" i="38"/>
  <c r="H16" i="37" s="1"/>
  <c r="D18" i="38"/>
  <c r="D16" i="37" s="1"/>
  <c r="L18" i="38"/>
  <c r="L16" i="37" s="1"/>
  <c r="N18" i="38"/>
  <c r="N16" i="37" s="1"/>
  <c r="C18" i="38"/>
  <c r="K18" i="38"/>
  <c r="K16" i="37" s="1"/>
  <c r="E18" i="38"/>
  <c r="E16" i="37" s="1"/>
  <c r="M18" i="38"/>
  <c r="M16" i="37" s="1"/>
  <c r="G18" i="38"/>
  <c r="G16" i="37" s="1"/>
  <c r="I18" i="38"/>
  <c r="I16" i="37" s="1"/>
  <c r="J10" i="38"/>
  <c r="J8" i="37" s="1"/>
  <c r="N10" i="38"/>
  <c r="N8" i="37" s="1"/>
  <c r="C10" i="38"/>
  <c r="K10" i="38"/>
  <c r="K8" i="37" s="1"/>
  <c r="D10" i="38"/>
  <c r="D8" i="37" s="1"/>
  <c r="L10" i="38"/>
  <c r="L8" i="37" s="1"/>
  <c r="F10" i="38"/>
  <c r="F8" i="37" s="1"/>
  <c r="H10" i="38"/>
  <c r="H8" i="37" s="1"/>
  <c r="I10" i="38"/>
  <c r="I8" i="37" s="1"/>
  <c r="G10" i="38"/>
  <c r="G8" i="37" s="1"/>
  <c r="M10" i="38"/>
  <c r="M8" i="37" s="1"/>
  <c r="E10" i="38"/>
  <c r="E8" i="37" s="1"/>
  <c r="J14" i="38"/>
  <c r="J12" i="37" s="1"/>
  <c r="E14" i="38"/>
  <c r="E12" i="37" s="1"/>
  <c r="M14" i="38"/>
  <c r="M12" i="37" s="1"/>
  <c r="G14" i="38"/>
  <c r="G12" i="37" s="1"/>
  <c r="C14" i="38"/>
  <c r="K14" i="38"/>
  <c r="K12" i="37" s="1"/>
  <c r="N14" i="38"/>
  <c r="N12" i="37" s="1"/>
  <c r="F14" i="38"/>
  <c r="F12" i="37" s="1"/>
  <c r="H14" i="38"/>
  <c r="H12" i="37" s="1"/>
  <c r="I14" i="38"/>
  <c r="I12" i="37" s="1"/>
  <c r="D14" i="38"/>
  <c r="D12" i="37" s="1"/>
  <c r="L14" i="38"/>
  <c r="L12" i="37" s="1"/>
  <c r="I19" i="38"/>
  <c r="I17" i="37" s="1"/>
  <c r="J19" i="38"/>
  <c r="J17" i="37" s="1"/>
  <c r="C19" i="38"/>
  <c r="K19" i="38"/>
  <c r="K17" i="37" s="1"/>
  <c r="D19" i="38"/>
  <c r="D17" i="37" s="1"/>
  <c r="L19" i="38"/>
  <c r="L17" i="37" s="1"/>
  <c r="M19" i="38"/>
  <c r="M17" i="37" s="1"/>
  <c r="N19" i="38"/>
  <c r="N17" i="37" s="1"/>
  <c r="F19" i="38"/>
  <c r="F17" i="37" s="1"/>
  <c r="E19" i="38"/>
  <c r="E17" i="37" s="1"/>
  <c r="H19" i="38"/>
  <c r="H17" i="37" s="1"/>
  <c r="G19" i="38"/>
  <c r="G17" i="37" s="1"/>
  <c r="K5" i="37"/>
  <c r="J5" i="37"/>
  <c r="G5" i="37"/>
  <c r="E15" i="38"/>
  <c r="E13" i="37" s="1"/>
  <c r="H15" i="38"/>
  <c r="H13" i="37" s="1"/>
  <c r="C15" i="38"/>
  <c r="K15" i="38"/>
  <c r="K13" i="37" s="1"/>
  <c r="D15" i="38"/>
  <c r="D13" i="37" s="1"/>
  <c r="L15" i="38"/>
  <c r="L13" i="37" s="1"/>
  <c r="I15" i="38"/>
  <c r="I13" i="37" s="1"/>
  <c r="M15" i="38"/>
  <c r="M13" i="37" s="1"/>
  <c r="J15" i="38"/>
  <c r="J13" i="37" s="1"/>
  <c r="G15" i="38"/>
  <c r="G13" i="37" s="1"/>
  <c r="N15" i="38"/>
  <c r="N13" i="37" s="1"/>
  <c r="F15" i="38"/>
  <c r="F13" i="37" s="1"/>
  <c r="E24" i="38"/>
  <c r="E22" i="37" s="1"/>
  <c r="D24" i="38"/>
  <c r="D22" i="37" s="1"/>
  <c r="L24" i="38"/>
  <c r="L22" i="37" s="1"/>
  <c r="H24" i="38"/>
  <c r="H22" i="37" s="1"/>
  <c r="M24" i="38"/>
  <c r="M22" i="37" s="1"/>
  <c r="F24" i="38"/>
  <c r="F22" i="37" s="1"/>
  <c r="N24" i="38"/>
  <c r="N22" i="37" s="1"/>
  <c r="C24" i="38"/>
  <c r="K24" i="38"/>
  <c r="K22" i="37" s="1"/>
  <c r="J24" i="38"/>
  <c r="J22" i="37" s="1"/>
  <c r="G24" i="38"/>
  <c r="G22" i="37" s="1"/>
  <c r="I24" i="38"/>
  <c r="I22" i="37" s="1"/>
  <c r="F23" i="38"/>
  <c r="F21" i="37" s="1"/>
  <c r="N23" i="38"/>
  <c r="N21" i="37" s="1"/>
  <c r="G23" i="38"/>
  <c r="G21" i="37" s="1"/>
  <c r="M23" i="38"/>
  <c r="M21" i="37" s="1"/>
  <c r="J23" i="38"/>
  <c r="J21" i="37" s="1"/>
  <c r="I23" i="38"/>
  <c r="I21" i="37" s="1"/>
  <c r="H23" i="38"/>
  <c r="H21" i="37" s="1"/>
  <c r="E23" i="38"/>
  <c r="E21" i="37" s="1"/>
  <c r="C23" i="38"/>
  <c r="K23" i="38"/>
  <c r="K21" i="37" s="1"/>
  <c r="D23" i="38"/>
  <c r="D21" i="37" s="1"/>
  <c r="L23" i="38"/>
  <c r="L21" i="37" s="1"/>
  <c r="F25" i="38"/>
  <c r="F23" i="37" s="1"/>
  <c r="N25" i="38"/>
  <c r="N23" i="37" s="1"/>
  <c r="I25" i="38"/>
  <c r="I23" i="37" s="1"/>
  <c r="H25" i="38"/>
  <c r="H23" i="37" s="1"/>
  <c r="C25" i="38"/>
  <c r="K25" i="38"/>
  <c r="K23" i="37" s="1"/>
  <c r="D25" i="38"/>
  <c r="D23" i="37" s="1"/>
  <c r="L25" i="38"/>
  <c r="L23" i="37" s="1"/>
  <c r="G25" i="38"/>
  <c r="G23" i="37" s="1"/>
  <c r="J25" i="38"/>
  <c r="J23" i="37" s="1"/>
  <c r="E25" i="38"/>
  <c r="E23" i="37" s="1"/>
  <c r="M25" i="38"/>
  <c r="M23" i="37" s="1"/>
  <c r="O24" i="57"/>
  <c r="C5" i="37"/>
  <c r="O7" i="38"/>
  <c r="F5" i="37"/>
  <c r="E5" i="37"/>
  <c r="J17" i="38"/>
  <c r="J15" i="37" s="1"/>
  <c r="E17" i="38"/>
  <c r="E15" i="37" s="1"/>
  <c r="M17" i="38"/>
  <c r="M15" i="37" s="1"/>
  <c r="C17" i="38"/>
  <c r="K17" i="38"/>
  <c r="K15" i="37" s="1"/>
  <c r="D17" i="38"/>
  <c r="D15" i="37" s="1"/>
  <c r="L17" i="38"/>
  <c r="L15" i="37" s="1"/>
  <c r="G17" i="38"/>
  <c r="G15" i="37" s="1"/>
  <c r="F17" i="38"/>
  <c r="F15" i="37" s="1"/>
  <c r="N17" i="38"/>
  <c r="N15" i="37" s="1"/>
  <c r="H17" i="38"/>
  <c r="H15" i="37" s="1"/>
  <c r="I17" i="38"/>
  <c r="I15" i="37" s="1"/>
  <c r="C13" i="38"/>
  <c r="K13" i="38"/>
  <c r="K11" i="37" s="1"/>
  <c r="D13" i="38"/>
  <c r="D11" i="37" s="1"/>
  <c r="L13" i="38"/>
  <c r="L11" i="37" s="1"/>
  <c r="J13" i="38"/>
  <c r="J11" i="37" s="1"/>
  <c r="H13" i="38"/>
  <c r="H11" i="37" s="1"/>
  <c r="G13" i="38"/>
  <c r="G11" i="37" s="1"/>
  <c r="F13" i="38"/>
  <c r="F11" i="37" s="1"/>
  <c r="N13" i="38"/>
  <c r="N11" i="37" s="1"/>
  <c r="I13" i="38"/>
  <c r="I11" i="37" s="1"/>
  <c r="E13" i="38"/>
  <c r="E11" i="37" s="1"/>
  <c r="M13" i="38"/>
  <c r="M11" i="37" s="1"/>
  <c r="I20" i="38"/>
  <c r="I18" i="37" s="1"/>
  <c r="J20" i="38"/>
  <c r="J18" i="37" s="1"/>
  <c r="G20" i="38"/>
  <c r="G18" i="37" s="1"/>
  <c r="E20" i="38"/>
  <c r="E18" i="37" s="1"/>
  <c r="H20" i="38"/>
  <c r="H18" i="37" s="1"/>
  <c r="D20" i="38"/>
  <c r="D18" i="37" s="1"/>
  <c r="L20" i="38"/>
  <c r="L18" i="37" s="1"/>
  <c r="F20" i="38"/>
  <c r="F18" i="37" s="1"/>
  <c r="N20" i="38"/>
  <c r="N18" i="37" s="1"/>
  <c r="C20" i="38"/>
  <c r="K20" i="38"/>
  <c r="K18" i="37" s="1"/>
  <c r="M20" i="38"/>
  <c r="M18" i="37" s="1"/>
  <c r="C21" i="38"/>
  <c r="K21" i="38"/>
  <c r="K19" i="37" s="1"/>
  <c r="D21" i="38"/>
  <c r="D19" i="37" s="1"/>
  <c r="L21" i="38"/>
  <c r="L19" i="37" s="1"/>
  <c r="G21" i="38"/>
  <c r="G19" i="37" s="1"/>
  <c r="F21" i="38"/>
  <c r="F19" i="37" s="1"/>
  <c r="N21" i="38"/>
  <c r="N19" i="37" s="1"/>
  <c r="J21" i="38"/>
  <c r="J19" i="37" s="1"/>
  <c r="E21" i="38"/>
  <c r="E19" i="37" s="1"/>
  <c r="M21" i="38"/>
  <c r="M19" i="37" s="1"/>
  <c r="H21" i="38"/>
  <c r="H19" i="37" s="1"/>
  <c r="I21" i="38"/>
  <c r="I19" i="37" s="1"/>
  <c r="F8" i="38"/>
  <c r="F6" i="37" s="1"/>
  <c r="N8" i="38"/>
  <c r="N6" i="37" s="1"/>
  <c r="E8" i="38"/>
  <c r="E6" i="37" s="1"/>
  <c r="C8" i="38"/>
  <c r="C27" i="38" s="1"/>
  <c r="K8" i="38"/>
  <c r="K6" i="37" s="1"/>
  <c r="D8" i="38"/>
  <c r="D6" i="37" s="1"/>
  <c r="L8" i="38"/>
  <c r="L6" i="37" s="1"/>
  <c r="H8" i="38"/>
  <c r="H6" i="37" s="1"/>
  <c r="M8" i="38"/>
  <c r="M6" i="37" s="1"/>
  <c r="J8" i="38"/>
  <c r="J6" i="37" s="1"/>
  <c r="G8" i="38"/>
  <c r="G6" i="37" s="1"/>
  <c r="I8" i="38"/>
  <c r="I6" i="37" s="1"/>
  <c r="N26" i="38"/>
  <c r="N24" i="37" s="1"/>
  <c r="D26" i="38"/>
  <c r="D24" i="37" s="1"/>
  <c r="L26" i="38"/>
  <c r="L24" i="37" s="1"/>
  <c r="G26" i="38"/>
  <c r="G24" i="37" s="1"/>
  <c r="F26" i="38"/>
  <c r="F24" i="37" s="1"/>
  <c r="J26" i="38"/>
  <c r="J24" i="37" s="1"/>
  <c r="C26" i="38"/>
  <c r="K26" i="38"/>
  <c r="K24" i="37" s="1"/>
  <c r="H26" i="38"/>
  <c r="H24" i="37" s="1"/>
  <c r="I26" i="38"/>
  <c r="I24" i="37" s="1"/>
  <c r="M26" i="38"/>
  <c r="M24" i="37" s="1"/>
  <c r="E26" i="38"/>
  <c r="E24" i="37" s="1"/>
  <c r="L27" i="38"/>
  <c r="L5" i="37"/>
  <c r="L25" i="37" s="1"/>
  <c r="N5" i="37"/>
  <c r="N25" i="37" s="1"/>
  <c r="N27" i="38"/>
  <c r="M27" i="38"/>
  <c r="M5" i="37"/>
  <c r="M25" i="37" s="1"/>
  <c r="B27" i="38"/>
  <c r="Q29" i="5"/>
  <c r="I31" i="22"/>
  <c r="J31" i="22" s="1"/>
  <c r="J11" i="22"/>
  <c r="K11" i="22" s="1"/>
  <c r="L11" i="22" s="1"/>
  <c r="L31" i="22" s="1"/>
  <c r="O28" i="4"/>
  <c r="P28" i="4"/>
  <c r="Q17" i="4" s="1"/>
  <c r="M28" i="4"/>
  <c r="N28" i="4" s="1"/>
  <c r="N29" i="8"/>
  <c r="L29" i="8"/>
  <c r="Q10" i="4"/>
  <c r="Q14" i="4"/>
  <c r="Q13" i="4"/>
  <c r="Q16" i="4"/>
  <c r="Q8" i="4"/>
  <c r="Q11" i="4"/>
  <c r="Q19" i="4"/>
  <c r="Q26" i="4"/>
  <c r="Q21" i="4"/>
  <c r="Q23" i="4"/>
  <c r="O26" i="38" l="1"/>
  <c r="C24" i="37"/>
  <c r="O24" i="37" s="1"/>
  <c r="E27" i="38"/>
  <c r="O15" i="38"/>
  <c r="C13" i="37"/>
  <c r="O13" i="37" s="1"/>
  <c r="G27" i="38"/>
  <c r="K27" i="38"/>
  <c r="C12" i="37"/>
  <c r="O12" i="37" s="1"/>
  <c r="O14" i="38"/>
  <c r="H25" i="37"/>
  <c r="C18" i="37"/>
  <c r="O18" i="37" s="1"/>
  <c r="O20" i="38"/>
  <c r="F27" i="38"/>
  <c r="O5" i="37"/>
  <c r="J27" i="38"/>
  <c r="C7" i="37"/>
  <c r="O7" i="37" s="1"/>
  <c r="O9" i="38"/>
  <c r="O12" i="38"/>
  <c r="C10" i="37"/>
  <c r="O10" i="37" s="1"/>
  <c r="H27" i="38"/>
  <c r="C19" i="37"/>
  <c r="O19" i="37" s="1"/>
  <c r="O21" i="38"/>
  <c r="O13" i="38"/>
  <c r="C11" i="37"/>
  <c r="O11" i="37" s="1"/>
  <c r="F25" i="37"/>
  <c r="C23" i="37"/>
  <c r="O23" i="37" s="1"/>
  <c r="O25" i="38"/>
  <c r="C21" i="37"/>
  <c r="O21" i="37" s="1"/>
  <c r="O23" i="38"/>
  <c r="J25" i="37"/>
  <c r="O19" i="38"/>
  <c r="C17" i="37"/>
  <c r="O17" i="37" s="1"/>
  <c r="C8" i="37"/>
  <c r="O8" i="37" s="1"/>
  <c r="O10" i="38"/>
  <c r="C16" i="37"/>
  <c r="O16" i="37" s="1"/>
  <c r="O18" i="38"/>
  <c r="C14" i="37"/>
  <c r="O14" i="37" s="1"/>
  <c r="O16" i="38"/>
  <c r="I27" i="38"/>
  <c r="D25" i="37"/>
  <c r="C6" i="37"/>
  <c r="O6" i="37" s="1"/>
  <c r="O8" i="38"/>
  <c r="O17" i="38"/>
  <c r="C15" i="37"/>
  <c r="O15" i="37" s="1"/>
  <c r="E25" i="37"/>
  <c r="O24" i="38"/>
  <c r="C22" i="37"/>
  <c r="O22" i="37" s="1"/>
  <c r="G25" i="37"/>
  <c r="K25" i="37"/>
  <c r="I25" i="37"/>
  <c r="D27" i="38"/>
  <c r="O27" i="38" s="1"/>
  <c r="C20" i="37"/>
  <c r="O20" i="37" s="1"/>
  <c r="O22" i="38"/>
  <c r="O11" i="38"/>
  <c r="C9" i="37"/>
  <c r="O9" i="37" s="1"/>
  <c r="Q27" i="4"/>
  <c r="R27" i="4" s="1"/>
  <c r="Q18" i="4"/>
  <c r="R18" i="4" s="1"/>
  <c r="Q22" i="4"/>
  <c r="G23" i="14" s="1"/>
  <c r="Q12" i="4"/>
  <c r="G13" i="14" s="1"/>
  <c r="Q15" i="4"/>
  <c r="G16" i="14" s="1"/>
  <c r="Q25" i="4"/>
  <c r="R25" i="4" s="1"/>
  <c r="Q24" i="4"/>
  <c r="G25" i="14" s="1"/>
  <c r="Q20" i="4"/>
  <c r="G21" i="14" s="1"/>
  <c r="Q9" i="4"/>
  <c r="R9" i="4" s="1"/>
  <c r="G22" i="14"/>
  <c r="G22" i="13"/>
  <c r="G14" i="14"/>
  <c r="G14" i="13"/>
  <c r="G19" i="14"/>
  <c r="G20" i="14"/>
  <c r="G20" i="13"/>
  <c r="G11" i="14"/>
  <c r="G11" i="13"/>
  <c r="G18" i="14"/>
  <c r="G18" i="13"/>
  <c r="G9" i="14"/>
  <c r="G9" i="13"/>
  <c r="G24" i="14"/>
  <c r="G24" i="13"/>
  <c r="G27" i="14"/>
  <c r="G27" i="13"/>
  <c r="G12" i="14"/>
  <c r="G12" i="13"/>
  <c r="G17" i="14"/>
  <c r="G17" i="13"/>
  <c r="G15" i="14"/>
  <c r="G15" i="13"/>
  <c r="R17" i="4"/>
  <c r="R11" i="4"/>
  <c r="R16" i="4"/>
  <c r="R14" i="4"/>
  <c r="R8" i="4"/>
  <c r="R13" i="4"/>
  <c r="R10" i="4"/>
  <c r="R19" i="4"/>
  <c r="R23" i="4"/>
  <c r="R21" i="4"/>
  <c r="R26" i="4"/>
  <c r="C25" i="37" l="1"/>
  <c r="O25" i="37" s="1"/>
  <c r="G10" i="13"/>
  <c r="G13" i="13"/>
  <c r="I13" i="13" s="1"/>
  <c r="J13" i="13" s="1"/>
  <c r="AG13" i="3" s="1"/>
  <c r="R20" i="4"/>
  <c r="G19" i="13"/>
  <c r="H19" i="13" s="1"/>
  <c r="G28" i="14"/>
  <c r="G26" i="14"/>
  <c r="I26" i="14" s="1"/>
  <c r="J26" i="14" s="1"/>
  <c r="AE26" i="3" s="1"/>
  <c r="G25" i="13"/>
  <c r="I25" i="13" s="1"/>
  <c r="J25" i="13" s="1"/>
  <c r="AG25" i="3" s="1"/>
  <c r="R22" i="4"/>
  <c r="U22" i="4" s="1"/>
  <c r="G26" i="13"/>
  <c r="H26" i="13" s="1"/>
  <c r="G10" i="14"/>
  <c r="H10" i="14" s="1"/>
  <c r="L10" i="14" s="1"/>
  <c r="N10" i="14" s="1"/>
  <c r="G16" i="13"/>
  <c r="I16" i="13" s="1"/>
  <c r="J16" i="13" s="1"/>
  <c r="AG16" i="3" s="1"/>
  <c r="R12" i="4"/>
  <c r="U12" i="4" s="1"/>
  <c r="G21" i="13"/>
  <c r="I21" i="13" s="1"/>
  <c r="J21" i="13" s="1"/>
  <c r="AG21" i="3" s="1"/>
  <c r="Q28" i="4"/>
  <c r="G28" i="13"/>
  <c r="I28" i="13" s="1"/>
  <c r="J28" i="13" s="1"/>
  <c r="AG28" i="3" s="1"/>
  <c r="R24" i="4"/>
  <c r="AD25" i="3" s="1"/>
  <c r="G23" i="13"/>
  <c r="H23" i="13" s="1"/>
  <c r="R15" i="4"/>
  <c r="U15" i="4" s="1"/>
  <c r="H15" i="13"/>
  <c r="I15" i="13"/>
  <c r="J15" i="13" s="1"/>
  <c r="AG15" i="3" s="1"/>
  <c r="I23" i="13"/>
  <c r="J23" i="13" s="1"/>
  <c r="AG23" i="3" s="1"/>
  <c r="I18" i="13"/>
  <c r="J18" i="13" s="1"/>
  <c r="AG18" i="3" s="1"/>
  <c r="H18" i="13"/>
  <c r="I11" i="13"/>
  <c r="J11" i="13" s="1"/>
  <c r="AG11" i="3" s="1"/>
  <c r="H11" i="13"/>
  <c r="S22" i="4"/>
  <c r="T22" i="4" s="1"/>
  <c r="T23" i="3" s="1"/>
  <c r="U10" i="4"/>
  <c r="S10" i="4"/>
  <c r="T10" i="4" s="1"/>
  <c r="T11" i="3" s="1"/>
  <c r="AF11" i="3"/>
  <c r="AD11" i="3"/>
  <c r="U8" i="4"/>
  <c r="S8" i="4"/>
  <c r="T8" i="4" s="1"/>
  <c r="T9" i="3" s="1"/>
  <c r="AF9" i="3"/>
  <c r="AD9" i="3"/>
  <c r="U17" i="4"/>
  <c r="S17" i="4"/>
  <c r="T17" i="4" s="1"/>
  <c r="T18" i="3" s="1"/>
  <c r="AD18" i="3"/>
  <c r="AF18" i="3"/>
  <c r="I15" i="14"/>
  <c r="J15" i="14" s="1"/>
  <c r="AE15" i="3" s="1"/>
  <c r="H15" i="14"/>
  <c r="L15" i="14" s="1"/>
  <c r="N15" i="14" s="1"/>
  <c r="I12" i="14"/>
  <c r="J12" i="14" s="1"/>
  <c r="AE12" i="3" s="1"/>
  <c r="H12" i="14"/>
  <c r="L12" i="14" s="1"/>
  <c r="N12" i="14" s="1"/>
  <c r="I24" i="14"/>
  <c r="J24" i="14" s="1"/>
  <c r="AE24" i="3" s="1"/>
  <c r="H24" i="14"/>
  <c r="L24" i="14" s="1"/>
  <c r="N24" i="14" s="1"/>
  <c r="I23" i="14"/>
  <c r="J23" i="14" s="1"/>
  <c r="AE23" i="3" s="1"/>
  <c r="H23" i="14"/>
  <c r="L23" i="14" s="1"/>
  <c r="N23" i="14" s="1"/>
  <c r="I18" i="14"/>
  <c r="J18" i="14" s="1"/>
  <c r="AE18" i="3" s="1"/>
  <c r="H18" i="14"/>
  <c r="L18" i="14" s="1"/>
  <c r="N18" i="14" s="1"/>
  <c r="I21" i="14"/>
  <c r="J21" i="14" s="1"/>
  <c r="AE21" i="3" s="1"/>
  <c r="H21" i="14"/>
  <c r="L21" i="14" s="1"/>
  <c r="N21" i="14" s="1"/>
  <c r="I13" i="14"/>
  <c r="J13" i="14" s="1"/>
  <c r="AE13" i="3" s="1"/>
  <c r="H13" i="14"/>
  <c r="L13" i="14" s="1"/>
  <c r="N13" i="14" s="1"/>
  <c r="I11" i="14"/>
  <c r="J11" i="14" s="1"/>
  <c r="AE11" i="3" s="1"/>
  <c r="H11" i="14"/>
  <c r="L11" i="14" s="1"/>
  <c r="N11" i="14" s="1"/>
  <c r="I16" i="14"/>
  <c r="J16" i="14" s="1"/>
  <c r="AE16" i="3" s="1"/>
  <c r="H16" i="14"/>
  <c r="L16" i="14" s="1"/>
  <c r="N16" i="14" s="1"/>
  <c r="I14" i="14"/>
  <c r="J14" i="14" s="1"/>
  <c r="AE14" i="3" s="1"/>
  <c r="H14" i="14"/>
  <c r="L14" i="14" s="1"/>
  <c r="N14" i="14" s="1"/>
  <c r="U16" i="4"/>
  <c r="S16" i="4"/>
  <c r="T16" i="4" s="1"/>
  <c r="T17" i="3" s="1"/>
  <c r="AF17" i="3"/>
  <c r="AD17" i="3"/>
  <c r="H24" i="13"/>
  <c r="I24" i="13"/>
  <c r="J24" i="13" s="1"/>
  <c r="AG24" i="3" s="1"/>
  <c r="H14" i="13"/>
  <c r="I14" i="13"/>
  <c r="J14" i="13" s="1"/>
  <c r="AG14" i="3" s="1"/>
  <c r="U26" i="4"/>
  <c r="S26" i="4"/>
  <c r="T26" i="4" s="1"/>
  <c r="T27" i="3" s="1"/>
  <c r="AD27" i="3"/>
  <c r="AF27" i="3"/>
  <c r="U19" i="4"/>
  <c r="S19" i="4"/>
  <c r="T19" i="4" s="1"/>
  <c r="T20" i="3" s="1"/>
  <c r="AD20" i="3"/>
  <c r="AF20" i="3"/>
  <c r="U25" i="4"/>
  <c r="S25" i="4"/>
  <c r="T25" i="4" s="1"/>
  <c r="T26" i="3" s="1"/>
  <c r="AD26" i="3"/>
  <c r="AF26" i="3"/>
  <c r="U13" i="4"/>
  <c r="S13" i="4"/>
  <c r="T13" i="4" s="1"/>
  <c r="T14" i="3" s="1"/>
  <c r="AF14" i="3"/>
  <c r="AD14" i="3"/>
  <c r="H17" i="13"/>
  <c r="I17" i="13"/>
  <c r="J17" i="13" s="1"/>
  <c r="AG17" i="3" s="1"/>
  <c r="H27" i="13"/>
  <c r="I27" i="13"/>
  <c r="J27" i="13" s="1"/>
  <c r="AG27" i="3" s="1"/>
  <c r="I9" i="13"/>
  <c r="H9" i="13"/>
  <c r="I10" i="13"/>
  <c r="J10" i="13" s="1"/>
  <c r="AG10" i="3" s="1"/>
  <c r="H10" i="13"/>
  <c r="H25" i="13"/>
  <c r="I20" i="13"/>
  <c r="J20" i="13" s="1"/>
  <c r="AG20" i="3" s="1"/>
  <c r="H20" i="13"/>
  <c r="I22" i="13"/>
  <c r="J22" i="13" s="1"/>
  <c r="AG22" i="3" s="1"/>
  <c r="H22" i="13"/>
  <c r="U18" i="4"/>
  <c r="S18" i="4"/>
  <c r="T18" i="4" s="1"/>
  <c r="T19" i="3" s="1"/>
  <c r="AD19" i="3"/>
  <c r="AF19" i="3"/>
  <c r="H12" i="13"/>
  <c r="I12" i="13"/>
  <c r="J12" i="13" s="1"/>
  <c r="AG12" i="3" s="1"/>
  <c r="U23" i="4"/>
  <c r="S23" i="4"/>
  <c r="T23" i="4" s="1"/>
  <c r="T24" i="3" s="1"/>
  <c r="AF24" i="3"/>
  <c r="AD24" i="3"/>
  <c r="U20" i="4"/>
  <c r="S20" i="4"/>
  <c r="T20" i="4" s="1"/>
  <c r="T21" i="3" s="1"/>
  <c r="AD21" i="3"/>
  <c r="AF21" i="3"/>
  <c r="U21" i="4"/>
  <c r="S21" i="4"/>
  <c r="T21" i="4" s="1"/>
  <c r="T22" i="3" s="1"/>
  <c r="AF22" i="3"/>
  <c r="AD22" i="3"/>
  <c r="U24" i="4"/>
  <c r="U27" i="4"/>
  <c r="S27" i="4"/>
  <c r="T27" i="4" s="1"/>
  <c r="T28" i="3" s="1"/>
  <c r="AD28" i="3"/>
  <c r="AF28" i="3"/>
  <c r="U14" i="4"/>
  <c r="S14" i="4"/>
  <c r="T14" i="4" s="1"/>
  <c r="T15" i="3" s="1"/>
  <c r="AF15" i="3"/>
  <c r="AD15" i="3"/>
  <c r="U11" i="4"/>
  <c r="S11" i="4"/>
  <c r="T11" i="4" s="1"/>
  <c r="T12" i="3" s="1"/>
  <c r="AD12" i="3"/>
  <c r="AF12" i="3"/>
  <c r="U9" i="4"/>
  <c r="S9" i="4"/>
  <c r="T9" i="4" s="1"/>
  <c r="T10" i="3" s="1"/>
  <c r="AD10" i="3"/>
  <c r="AF10" i="3"/>
  <c r="I17" i="14"/>
  <c r="J17" i="14" s="1"/>
  <c r="AE17" i="3" s="1"/>
  <c r="H17" i="14"/>
  <c r="L17" i="14" s="1"/>
  <c r="N17" i="14" s="1"/>
  <c r="I27" i="14"/>
  <c r="J27" i="14" s="1"/>
  <c r="AE27" i="3" s="1"/>
  <c r="H27" i="14"/>
  <c r="L27" i="14" s="1"/>
  <c r="N27" i="14" s="1"/>
  <c r="I9" i="14"/>
  <c r="J9" i="14" s="1"/>
  <c r="H9" i="14"/>
  <c r="L9" i="14" s="1"/>
  <c r="N9" i="14" s="1"/>
  <c r="N29" i="14" s="1"/>
  <c r="I25" i="14"/>
  <c r="J25" i="14" s="1"/>
  <c r="AE25" i="3" s="1"/>
  <c r="H25" i="14"/>
  <c r="L25" i="14" s="1"/>
  <c r="N25" i="14" s="1"/>
  <c r="I28" i="14"/>
  <c r="J28" i="14" s="1"/>
  <c r="AE28" i="3" s="1"/>
  <c r="H28" i="14"/>
  <c r="L28" i="14" s="1"/>
  <c r="N28" i="14" s="1"/>
  <c r="I20" i="14"/>
  <c r="J20" i="14" s="1"/>
  <c r="AE20" i="3" s="1"/>
  <c r="H20" i="14"/>
  <c r="L20" i="14" s="1"/>
  <c r="N20" i="14" s="1"/>
  <c r="I19" i="14"/>
  <c r="J19" i="14" s="1"/>
  <c r="AE19" i="3" s="1"/>
  <c r="H19" i="14"/>
  <c r="L19" i="14" s="1"/>
  <c r="N19" i="14" s="1"/>
  <c r="I22" i="14"/>
  <c r="J22" i="14" s="1"/>
  <c r="AE22" i="3" s="1"/>
  <c r="H22" i="14"/>
  <c r="L22" i="14" s="1"/>
  <c r="N22" i="14" s="1"/>
  <c r="AC29" i="3"/>
  <c r="W29" i="3"/>
  <c r="I29" i="3"/>
  <c r="J25" i="3" s="1"/>
  <c r="K25" i="3" s="1"/>
  <c r="E29" i="3"/>
  <c r="D23" i="3" s="1"/>
  <c r="F23" i="3" s="1"/>
  <c r="G23" i="3" s="1"/>
  <c r="H23" i="3" s="1"/>
  <c r="B29" i="3"/>
  <c r="C28" i="3"/>
  <c r="C27" i="3"/>
  <c r="C26" i="3"/>
  <c r="C25" i="3"/>
  <c r="C24" i="3"/>
  <c r="C23" i="3"/>
  <c r="C22" i="3"/>
  <c r="C21" i="3"/>
  <c r="C20" i="3"/>
  <c r="D21" i="3" l="1"/>
  <c r="F21" i="3" s="1"/>
  <c r="G21" i="3" s="1"/>
  <c r="H21" i="3" s="1"/>
  <c r="D25" i="3"/>
  <c r="F25" i="3" s="1"/>
  <c r="G25" i="3" s="1"/>
  <c r="H25" i="3" s="1"/>
  <c r="J28" i="3"/>
  <c r="K28" i="3" s="1"/>
  <c r="L28" i="3" s="1"/>
  <c r="S10" i="3"/>
  <c r="B6" i="33"/>
  <c r="B6" i="62"/>
  <c r="B8" i="51"/>
  <c r="S12" i="3"/>
  <c r="B8" i="33"/>
  <c r="B8" i="62"/>
  <c r="B10" i="51"/>
  <c r="S15" i="3"/>
  <c r="B11" i="33"/>
  <c r="B11" i="62"/>
  <c r="B13" i="51"/>
  <c r="S28" i="3"/>
  <c r="B24" i="33"/>
  <c r="B24" i="62"/>
  <c r="B26" i="51"/>
  <c r="S14" i="3"/>
  <c r="B10" i="33"/>
  <c r="B10" i="62"/>
  <c r="B12" i="51"/>
  <c r="S26" i="3"/>
  <c r="B22" i="33"/>
  <c r="B22" i="62"/>
  <c r="B24" i="51"/>
  <c r="S20" i="3"/>
  <c r="B16" i="33"/>
  <c r="B16" i="62"/>
  <c r="B18" i="51"/>
  <c r="S27" i="3"/>
  <c r="B23" i="33"/>
  <c r="B23" i="62"/>
  <c r="B25" i="51"/>
  <c r="S17" i="3"/>
  <c r="B13" i="62"/>
  <c r="B13" i="33"/>
  <c r="B15" i="51"/>
  <c r="S18" i="3"/>
  <c r="B14" i="33"/>
  <c r="B14" i="62"/>
  <c r="B16" i="51"/>
  <c r="S9" i="3"/>
  <c r="B5" i="62"/>
  <c r="B5" i="33"/>
  <c r="B7" i="51"/>
  <c r="S11" i="3"/>
  <c r="B7" i="33"/>
  <c r="B7" i="62"/>
  <c r="B9" i="51"/>
  <c r="S25" i="3"/>
  <c r="B21" i="33"/>
  <c r="B21" i="62"/>
  <c r="B23" i="51"/>
  <c r="S22" i="3"/>
  <c r="B18" i="33"/>
  <c r="B18" i="62"/>
  <c r="B20" i="51"/>
  <c r="S21" i="3"/>
  <c r="B17" i="33"/>
  <c r="B17" i="62"/>
  <c r="B19" i="51"/>
  <c r="S24" i="3"/>
  <c r="B20" i="33"/>
  <c r="B20" i="62"/>
  <c r="B22" i="51"/>
  <c r="S16" i="3"/>
  <c r="B12" i="33"/>
  <c r="B12" i="62"/>
  <c r="B14" i="51"/>
  <c r="S19" i="3"/>
  <c r="B15" i="33"/>
  <c r="B15" i="62"/>
  <c r="B17" i="51"/>
  <c r="S13" i="3"/>
  <c r="B9" i="33"/>
  <c r="B9" i="62"/>
  <c r="B11" i="51"/>
  <c r="S23" i="3"/>
  <c r="B19" i="33"/>
  <c r="B19" i="62"/>
  <c r="B21" i="51"/>
  <c r="I19" i="13"/>
  <c r="J19" i="13" s="1"/>
  <c r="AG19" i="3" s="1"/>
  <c r="AF13" i="3"/>
  <c r="AF25" i="3"/>
  <c r="S24" i="4"/>
  <c r="T24" i="4" s="1"/>
  <c r="T25" i="3" s="1"/>
  <c r="AF23" i="3"/>
  <c r="R28" i="4"/>
  <c r="U28" i="4" s="1"/>
  <c r="H13" i="13"/>
  <c r="AD13" i="3"/>
  <c r="AD23" i="3"/>
  <c r="H26" i="14"/>
  <c r="L26" i="14" s="1"/>
  <c r="N26" i="14" s="1"/>
  <c r="I10" i="14"/>
  <c r="J10" i="14" s="1"/>
  <c r="AE10" i="3" s="1"/>
  <c r="S12" i="4"/>
  <c r="T12" i="4" s="1"/>
  <c r="T13" i="3" s="1"/>
  <c r="H28" i="13"/>
  <c r="H21" i="13"/>
  <c r="H16" i="13"/>
  <c r="I26" i="13"/>
  <c r="J26" i="13" s="1"/>
  <c r="AG26" i="3" s="1"/>
  <c r="S29" i="3"/>
  <c r="AD16" i="3"/>
  <c r="AF16" i="3"/>
  <c r="S15" i="4"/>
  <c r="T15" i="4" s="1"/>
  <c r="T16" i="3" s="1"/>
  <c r="AE9" i="3"/>
  <c r="J20" i="3"/>
  <c r="K20" i="3" s="1"/>
  <c r="L20" i="3" s="1"/>
  <c r="J21" i="3"/>
  <c r="K21" i="3" s="1"/>
  <c r="N21" i="3" s="1"/>
  <c r="O21" i="3" s="1"/>
  <c r="J24" i="3"/>
  <c r="K24" i="3" s="1"/>
  <c r="L24" i="3" s="1"/>
  <c r="J27" i="3"/>
  <c r="K27" i="3" s="1"/>
  <c r="J22" i="3"/>
  <c r="K22" i="3" s="1"/>
  <c r="L22" i="3" s="1"/>
  <c r="J23" i="3"/>
  <c r="K23" i="3" s="1"/>
  <c r="N23" i="3" s="1"/>
  <c r="O23" i="3" s="1"/>
  <c r="J26" i="3"/>
  <c r="K26" i="3" s="1"/>
  <c r="L26" i="3" s="1"/>
  <c r="D9" i="3"/>
  <c r="D11" i="3"/>
  <c r="F11" i="3" s="1"/>
  <c r="G11" i="3" s="1"/>
  <c r="H11" i="3" s="1"/>
  <c r="D13" i="3"/>
  <c r="F13" i="3" s="1"/>
  <c r="G13" i="3" s="1"/>
  <c r="H13" i="3" s="1"/>
  <c r="D15" i="3"/>
  <c r="F15" i="3" s="1"/>
  <c r="G15" i="3" s="1"/>
  <c r="H15" i="3" s="1"/>
  <c r="D17" i="3"/>
  <c r="F17" i="3" s="1"/>
  <c r="G17" i="3" s="1"/>
  <c r="H17" i="3" s="1"/>
  <c r="D19" i="3"/>
  <c r="F19" i="3" s="1"/>
  <c r="G19" i="3" s="1"/>
  <c r="H19" i="3" s="1"/>
  <c r="D10" i="3"/>
  <c r="F10" i="3" s="1"/>
  <c r="G10" i="3" s="1"/>
  <c r="H10" i="3" s="1"/>
  <c r="D12" i="3"/>
  <c r="F12" i="3" s="1"/>
  <c r="G12" i="3" s="1"/>
  <c r="H12" i="3" s="1"/>
  <c r="D14" i="3"/>
  <c r="F14" i="3" s="1"/>
  <c r="G14" i="3" s="1"/>
  <c r="H14" i="3" s="1"/>
  <c r="D16" i="3"/>
  <c r="F16" i="3" s="1"/>
  <c r="G16" i="3" s="1"/>
  <c r="H16" i="3" s="1"/>
  <c r="D18" i="3"/>
  <c r="F18" i="3" s="1"/>
  <c r="G18" i="3" s="1"/>
  <c r="H18" i="3" s="1"/>
  <c r="D22" i="3"/>
  <c r="F22" i="3" s="1"/>
  <c r="G22" i="3" s="1"/>
  <c r="H22" i="3" s="1"/>
  <c r="D26" i="3"/>
  <c r="F26" i="3" s="1"/>
  <c r="G26" i="3" s="1"/>
  <c r="H26" i="3" s="1"/>
  <c r="J9" i="3"/>
  <c r="J10" i="3"/>
  <c r="K10" i="3" s="1"/>
  <c r="J11" i="3"/>
  <c r="K11" i="3" s="1"/>
  <c r="J12" i="3"/>
  <c r="K12" i="3" s="1"/>
  <c r="J13" i="3"/>
  <c r="K13" i="3" s="1"/>
  <c r="J14" i="3"/>
  <c r="K14" i="3" s="1"/>
  <c r="J15" i="3"/>
  <c r="K15" i="3" s="1"/>
  <c r="J16" i="3"/>
  <c r="K16" i="3" s="1"/>
  <c r="J17" i="3"/>
  <c r="K17" i="3" s="1"/>
  <c r="J18" i="3"/>
  <c r="K18" i="3" s="1"/>
  <c r="J19" i="3"/>
  <c r="K19" i="3" s="1"/>
  <c r="D27" i="3"/>
  <c r="F27" i="3" s="1"/>
  <c r="G27" i="3" s="1"/>
  <c r="H27" i="3" s="1"/>
  <c r="D20" i="3"/>
  <c r="F20" i="3" s="1"/>
  <c r="G20" i="3" s="1"/>
  <c r="H20" i="3" s="1"/>
  <c r="M20" i="3" s="1"/>
  <c r="D24" i="3"/>
  <c r="F24" i="3" s="1"/>
  <c r="G24" i="3" s="1"/>
  <c r="H24" i="3" s="1"/>
  <c r="D28" i="3"/>
  <c r="F28" i="3" s="1"/>
  <c r="G28" i="3" s="1"/>
  <c r="H28" i="3" s="1"/>
  <c r="M28" i="3" s="1"/>
  <c r="C29" i="3"/>
  <c r="N25" i="3"/>
  <c r="O25" i="3" s="1"/>
  <c r="N27" i="3"/>
  <c r="O27" i="3" s="1"/>
  <c r="N20" i="3"/>
  <c r="O20" i="3" s="1"/>
  <c r="L21" i="3"/>
  <c r="N22" i="3"/>
  <c r="O22" i="3" s="1"/>
  <c r="L25" i="3"/>
  <c r="M25" i="3" s="1"/>
  <c r="L27" i="3"/>
  <c r="N26" i="3" l="1"/>
  <c r="O26" i="3" s="1"/>
  <c r="M21" i="3"/>
  <c r="L23" i="3"/>
  <c r="C21" i="51"/>
  <c r="K21" i="51"/>
  <c r="L21" i="51"/>
  <c r="H21" i="51"/>
  <c r="G21" i="51"/>
  <c r="D21" i="51"/>
  <c r="F21" i="51"/>
  <c r="M21" i="51"/>
  <c r="N21" i="51"/>
  <c r="I21" i="51"/>
  <c r="E21" i="51"/>
  <c r="J21" i="51"/>
  <c r="I11" i="51"/>
  <c r="E11" i="51"/>
  <c r="L11" i="51"/>
  <c r="D11" i="51"/>
  <c r="C11" i="51"/>
  <c r="G11" i="51"/>
  <c r="K11" i="51"/>
  <c r="F11" i="51"/>
  <c r="H11" i="51"/>
  <c r="M11" i="51"/>
  <c r="N11" i="51"/>
  <c r="J11" i="51"/>
  <c r="F17" i="51"/>
  <c r="L17" i="51"/>
  <c r="H17" i="51"/>
  <c r="C17" i="51"/>
  <c r="G17" i="51"/>
  <c r="M17" i="51"/>
  <c r="N17" i="51"/>
  <c r="I17" i="51"/>
  <c r="D17" i="51"/>
  <c r="E17" i="51"/>
  <c r="K17" i="51"/>
  <c r="J17" i="51"/>
  <c r="N14" i="51"/>
  <c r="F14" i="51"/>
  <c r="C14" i="51"/>
  <c r="G14" i="51"/>
  <c r="K14" i="51"/>
  <c r="H14" i="51"/>
  <c r="M14" i="51"/>
  <c r="I14" i="51"/>
  <c r="D14" i="51"/>
  <c r="E14" i="51"/>
  <c r="L14" i="51"/>
  <c r="J14" i="51"/>
  <c r="N22" i="51"/>
  <c r="F22" i="51"/>
  <c r="H22" i="51"/>
  <c r="I22" i="51"/>
  <c r="D22" i="51"/>
  <c r="G22" i="51"/>
  <c r="K22" i="51"/>
  <c r="L22" i="51"/>
  <c r="M22" i="51"/>
  <c r="E22" i="51"/>
  <c r="C22" i="51"/>
  <c r="J22" i="51"/>
  <c r="E19" i="51"/>
  <c r="I19" i="51"/>
  <c r="N19" i="51"/>
  <c r="D19" i="51"/>
  <c r="M19" i="51"/>
  <c r="F19" i="51"/>
  <c r="C19" i="51"/>
  <c r="H19" i="51"/>
  <c r="G19" i="51"/>
  <c r="K19" i="51"/>
  <c r="L19" i="51"/>
  <c r="J19" i="51"/>
  <c r="H20" i="51"/>
  <c r="L20" i="51"/>
  <c r="D20" i="51"/>
  <c r="C20" i="51"/>
  <c r="G20" i="51"/>
  <c r="K20" i="51"/>
  <c r="F20" i="51"/>
  <c r="M20" i="51"/>
  <c r="N20" i="51"/>
  <c r="I20" i="51"/>
  <c r="E20" i="51"/>
  <c r="J20" i="51"/>
  <c r="E23" i="51"/>
  <c r="I23" i="51"/>
  <c r="C23" i="51"/>
  <c r="G23" i="51"/>
  <c r="K23" i="51"/>
  <c r="F23" i="51"/>
  <c r="H23" i="51"/>
  <c r="M23" i="51"/>
  <c r="N23" i="51"/>
  <c r="D23" i="51"/>
  <c r="L23" i="51"/>
  <c r="J23" i="51"/>
  <c r="H9" i="51"/>
  <c r="I9" i="51"/>
  <c r="D9" i="51"/>
  <c r="E9" i="51"/>
  <c r="K9" i="51"/>
  <c r="M9" i="51"/>
  <c r="F9" i="51"/>
  <c r="C9" i="51"/>
  <c r="L9" i="51"/>
  <c r="G9" i="51"/>
  <c r="N9" i="51"/>
  <c r="J9" i="51"/>
  <c r="B27" i="51"/>
  <c r="E7" i="51"/>
  <c r="I7" i="51"/>
  <c r="C7" i="51"/>
  <c r="G7" i="51"/>
  <c r="K7" i="51"/>
  <c r="M7" i="51"/>
  <c r="F7" i="51"/>
  <c r="L7" i="51"/>
  <c r="N7" i="51"/>
  <c r="D7" i="51"/>
  <c r="H7" i="51"/>
  <c r="J7" i="51"/>
  <c r="H16" i="51"/>
  <c r="L16" i="51"/>
  <c r="D16" i="51"/>
  <c r="M16" i="51"/>
  <c r="N16" i="51"/>
  <c r="I16" i="51"/>
  <c r="E16" i="51"/>
  <c r="G16" i="51"/>
  <c r="K16" i="51"/>
  <c r="C16" i="51"/>
  <c r="F16" i="51"/>
  <c r="J16" i="51"/>
  <c r="E15" i="51"/>
  <c r="I15" i="51"/>
  <c r="H15" i="51"/>
  <c r="C15" i="51"/>
  <c r="F15" i="51"/>
  <c r="K15" i="51"/>
  <c r="M15" i="51"/>
  <c r="L15" i="51"/>
  <c r="N15" i="51"/>
  <c r="D15" i="51"/>
  <c r="G15" i="51"/>
  <c r="J15" i="51"/>
  <c r="G25" i="51"/>
  <c r="H25" i="51"/>
  <c r="K25" i="51"/>
  <c r="M25" i="51"/>
  <c r="C25" i="51"/>
  <c r="F25" i="51"/>
  <c r="N25" i="51"/>
  <c r="E25" i="51"/>
  <c r="L25" i="51"/>
  <c r="I25" i="51"/>
  <c r="D25" i="51"/>
  <c r="J25" i="51"/>
  <c r="F18" i="51"/>
  <c r="N18" i="51"/>
  <c r="L18" i="51"/>
  <c r="H18" i="51"/>
  <c r="I18" i="51"/>
  <c r="M18" i="51"/>
  <c r="E18" i="51"/>
  <c r="C18" i="51"/>
  <c r="G18" i="51"/>
  <c r="K18" i="51"/>
  <c r="D18" i="51"/>
  <c r="J18" i="51"/>
  <c r="L24" i="51"/>
  <c r="H24" i="51"/>
  <c r="D24" i="51"/>
  <c r="M24" i="51"/>
  <c r="E24" i="51"/>
  <c r="N24" i="51"/>
  <c r="I24" i="51"/>
  <c r="C24" i="51"/>
  <c r="G24" i="51"/>
  <c r="K24" i="51"/>
  <c r="F24" i="51"/>
  <c r="J24" i="51"/>
  <c r="D12" i="51"/>
  <c r="L12" i="51"/>
  <c r="H12" i="51"/>
  <c r="N12" i="51"/>
  <c r="G12" i="51"/>
  <c r="K12" i="51"/>
  <c r="I12" i="51"/>
  <c r="C12" i="51"/>
  <c r="M12" i="51"/>
  <c r="E12" i="51"/>
  <c r="F12" i="51"/>
  <c r="J12" i="51"/>
  <c r="N26" i="51"/>
  <c r="F26" i="51"/>
  <c r="M26" i="51"/>
  <c r="I26" i="51"/>
  <c r="D26" i="51"/>
  <c r="E26" i="51"/>
  <c r="G26" i="51"/>
  <c r="K26" i="51"/>
  <c r="L26" i="51"/>
  <c r="H26" i="51"/>
  <c r="C26" i="51"/>
  <c r="J26" i="51"/>
  <c r="M13" i="51"/>
  <c r="N13" i="51"/>
  <c r="I13" i="51"/>
  <c r="D13" i="51"/>
  <c r="E13" i="51"/>
  <c r="F13" i="51"/>
  <c r="L13" i="51"/>
  <c r="K13" i="51"/>
  <c r="H13" i="51"/>
  <c r="C13" i="51"/>
  <c r="G13" i="51"/>
  <c r="J13" i="51"/>
  <c r="F10" i="51"/>
  <c r="N10" i="51"/>
  <c r="M10" i="51"/>
  <c r="I10" i="51"/>
  <c r="D10" i="51"/>
  <c r="E10" i="51"/>
  <c r="C10" i="51"/>
  <c r="G10" i="51"/>
  <c r="H10" i="51"/>
  <c r="K10" i="51"/>
  <c r="L10" i="51"/>
  <c r="J10" i="51"/>
  <c r="L8" i="51"/>
  <c r="H8" i="51"/>
  <c r="D8" i="51"/>
  <c r="N8" i="51"/>
  <c r="M8" i="51"/>
  <c r="I8" i="51"/>
  <c r="E8" i="51"/>
  <c r="C8" i="51"/>
  <c r="G8" i="51"/>
  <c r="K8" i="51"/>
  <c r="F8" i="51"/>
  <c r="J8" i="51"/>
  <c r="M19" i="62"/>
  <c r="D19" i="62"/>
  <c r="K19" i="62"/>
  <c r="G19" i="62"/>
  <c r="E19" i="62"/>
  <c r="L19" i="62"/>
  <c r="H19" i="62"/>
  <c r="J19" i="62"/>
  <c r="F19" i="62"/>
  <c r="N19" i="62"/>
  <c r="I19" i="62"/>
  <c r="C19" i="62"/>
  <c r="J9" i="62"/>
  <c r="L9" i="62"/>
  <c r="M9" i="62"/>
  <c r="D9" i="62"/>
  <c r="K9" i="62"/>
  <c r="G9" i="62"/>
  <c r="H9" i="62"/>
  <c r="E9" i="62"/>
  <c r="I9" i="62"/>
  <c r="F9" i="62"/>
  <c r="N9" i="62"/>
  <c r="C9" i="62"/>
  <c r="J15" i="62"/>
  <c r="D15" i="62"/>
  <c r="H15" i="62"/>
  <c r="M15" i="62"/>
  <c r="L15" i="62"/>
  <c r="K15" i="62"/>
  <c r="G15" i="62"/>
  <c r="E15" i="62"/>
  <c r="F15" i="62"/>
  <c r="I15" i="62"/>
  <c r="N15" i="62"/>
  <c r="C15" i="62"/>
  <c r="K12" i="62"/>
  <c r="M12" i="62"/>
  <c r="L12" i="62"/>
  <c r="D12" i="62"/>
  <c r="H12" i="62"/>
  <c r="G12" i="62"/>
  <c r="J12" i="62"/>
  <c r="I12" i="62"/>
  <c r="N12" i="62"/>
  <c r="E12" i="62"/>
  <c r="F12" i="62"/>
  <c r="C12" i="62"/>
  <c r="K20" i="62"/>
  <c r="E20" i="62"/>
  <c r="L20" i="62"/>
  <c r="H20" i="62"/>
  <c r="G20" i="62"/>
  <c r="D20" i="62"/>
  <c r="J20" i="62"/>
  <c r="M20" i="62"/>
  <c r="F20" i="62"/>
  <c r="N20" i="62"/>
  <c r="I20" i="62"/>
  <c r="C20" i="62"/>
  <c r="L17" i="62"/>
  <c r="D17" i="62"/>
  <c r="E17" i="62"/>
  <c r="H17" i="62"/>
  <c r="M17" i="62"/>
  <c r="K17" i="62"/>
  <c r="G17" i="62"/>
  <c r="J17" i="62"/>
  <c r="F17" i="62"/>
  <c r="I17" i="62"/>
  <c r="N17" i="62"/>
  <c r="C17" i="62"/>
  <c r="H18" i="62"/>
  <c r="G18" i="62"/>
  <c r="J18" i="62"/>
  <c r="K18" i="62"/>
  <c r="L18" i="62"/>
  <c r="D18" i="62"/>
  <c r="M18" i="62"/>
  <c r="E18" i="62"/>
  <c r="I18" i="62"/>
  <c r="F18" i="62"/>
  <c r="N18" i="62"/>
  <c r="C18" i="62"/>
  <c r="L21" i="62"/>
  <c r="K21" i="62"/>
  <c r="H21" i="62"/>
  <c r="G21" i="62"/>
  <c r="J21" i="62"/>
  <c r="E21" i="62"/>
  <c r="D21" i="62"/>
  <c r="M21" i="62"/>
  <c r="F21" i="62"/>
  <c r="N21" i="62"/>
  <c r="I21" i="62"/>
  <c r="C21" i="62"/>
  <c r="L7" i="62"/>
  <c r="D7" i="62"/>
  <c r="J7" i="62"/>
  <c r="M7" i="62"/>
  <c r="K7" i="62"/>
  <c r="H7" i="62"/>
  <c r="G7" i="62"/>
  <c r="E7" i="62"/>
  <c r="N7" i="62"/>
  <c r="I7" i="62"/>
  <c r="F7" i="62"/>
  <c r="C7" i="62"/>
  <c r="I5" i="33"/>
  <c r="G5" i="33"/>
  <c r="J5" i="33"/>
  <c r="B25" i="33"/>
  <c r="N5" i="33"/>
  <c r="C5" i="33"/>
  <c r="M5" i="33"/>
  <c r="E5" i="33"/>
  <c r="H5" i="33"/>
  <c r="D5" i="33"/>
  <c r="L5" i="33"/>
  <c r="K5" i="33"/>
  <c r="F5" i="33"/>
  <c r="D14" i="62"/>
  <c r="H14" i="62"/>
  <c r="G14" i="62"/>
  <c r="J14" i="62"/>
  <c r="M14" i="62"/>
  <c r="L14" i="62"/>
  <c r="K14" i="62"/>
  <c r="E14" i="62"/>
  <c r="F14" i="62"/>
  <c r="N14" i="62"/>
  <c r="I14" i="62"/>
  <c r="C14" i="62"/>
  <c r="O14" i="62" s="1"/>
  <c r="K13" i="33"/>
  <c r="H13" i="33"/>
  <c r="I13" i="33"/>
  <c r="E13" i="33"/>
  <c r="L13" i="33"/>
  <c r="D13" i="33"/>
  <c r="F13" i="33"/>
  <c r="J13" i="33"/>
  <c r="N13" i="33"/>
  <c r="M13" i="33"/>
  <c r="G13" i="33"/>
  <c r="C13" i="33"/>
  <c r="O13" i="33" s="1"/>
  <c r="D23" i="62"/>
  <c r="M23" i="62"/>
  <c r="L23" i="62"/>
  <c r="H23" i="62"/>
  <c r="J23" i="62"/>
  <c r="E23" i="62"/>
  <c r="K23" i="62"/>
  <c r="G23" i="62"/>
  <c r="F23" i="62"/>
  <c r="N23" i="62"/>
  <c r="I23" i="62"/>
  <c r="C23" i="62"/>
  <c r="O23" i="62" s="1"/>
  <c r="M16" i="62"/>
  <c r="D16" i="62"/>
  <c r="L16" i="62"/>
  <c r="K16" i="62"/>
  <c r="H16" i="62"/>
  <c r="G16" i="62"/>
  <c r="J16" i="62"/>
  <c r="N16" i="62"/>
  <c r="E16" i="62"/>
  <c r="F16" i="62"/>
  <c r="I16" i="62"/>
  <c r="C16" i="62"/>
  <c r="O16" i="62" s="1"/>
  <c r="D22" i="62"/>
  <c r="H22" i="62"/>
  <c r="M22" i="62"/>
  <c r="L22" i="62"/>
  <c r="E22" i="62"/>
  <c r="K22" i="62"/>
  <c r="G22" i="62"/>
  <c r="J22" i="62"/>
  <c r="F22" i="62"/>
  <c r="I22" i="62"/>
  <c r="N22" i="62"/>
  <c r="C22" i="62"/>
  <c r="O22" i="62" s="1"/>
  <c r="D10" i="62"/>
  <c r="E10" i="62"/>
  <c r="K10" i="62"/>
  <c r="H10" i="62"/>
  <c r="G10" i="62"/>
  <c r="J10" i="62"/>
  <c r="L10" i="62"/>
  <c r="M10" i="62"/>
  <c r="F10" i="62"/>
  <c r="N10" i="62"/>
  <c r="I10" i="62"/>
  <c r="C10" i="62"/>
  <c r="O10" i="62" s="1"/>
  <c r="L24" i="62"/>
  <c r="H24" i="62"/>
  <c r="G24" i="62"/>
  <c r="J24" i="62"/>
  <c r="E24" i="62"/>
  <c r="K24" i="62"/>
  <c r="M24" i="62"/>
  <c r="D24" i="62"/>
  <c r="N24" i="62"/>
  <c r="F24" i="62"/>
  <c r="I24" i="62"/>
  <c r="C24" i="62"/>
  <c r="O24" i="62" s="1"/>
  <c r="L11" i="62"/>
  <c r="D11" i="62"/>
  <c r="M11" i="62"/>
  <c r="K11" i="62"/>
  <c r="G11" i="62"/>
  <c r="J11" i="62"/>
  <c r="E11" i="62"/>
  <c r="H11" i="62"/>
  <c r="N11" i="62"/>
  <c r="F11" i="62"/>
  <c r="I11" i="62"/>
  <c r="C11" i="62"/>
  <c r="O11" i="62" s="1"/>
  <c r="L8" i="62"/>
  <c r="H8" i="62"/>
  <c r="G8" i="62"/>
  <c r="M8" i="62"/>
  <c r="D8" i="62"/>
  <c r="K8" i="62"/>
  <c r="E8" i="62"/>
  <c r="J8" i="62"/>
  <c r="I8" i="62"/>
  <c r="F8" i="62"/>
  <c r="N8" i="62"/>
  <c r="C8" i="62"/>
  <c r="O8" i="62" s="1"/>
  <c r="K6" i="62"/>
  <c r="J6" i="62"/>
  <c r="M6" i="62"/>
  <c r="D6" i="62"/>
  <c r="G6" i="62"/>
  <c r="L6" i="62"/>
  <c r="H6" i="62"/>
  <c r="E6" i="62"/>
  <c r="N6" i="62"/>
  <c r="I6" i="62"/>
  <c r="F6" i="62"/>
  <c r="C6" i="62"/>
  <c r="O6" i="62" s="1"/>
  <c r="K19" i="33"/>
  <c r="E19" i="33"/>
  <c r="M19" i="33"/>
  <c r="H19" i="33"/>
  <c r="F19" i="33"/>
  <c r="G19" i="33"/>
  <c r="N19" i="33"/>
  <c r="L19" i="33"/>
  <c r="I19" i="33"/>
  <c r="D19" i="33"/>
  <c r="C19" i="33"/>
  <c r="J19" i="33"/>
  <c r="K9" i="33"/>
  <c r="L9" i="33"/>
  <c r="H9" i="33"/>
  <c r="N9" i="33"/>
  <c r="C9" i="33"/>
  <c r="M9" i="33"/>
  <c r="D9" i="33"/>
  <c r="E9" i="33"/>
  <c r="I9" i="33"/>
  <c r="J9" i="33"/>
  <c r="G9" i="33"/>
  <c r="F9" i="33"/>
  <c r="K15" i="33"/>
  <c r="M15" i="33"/>
  <c r="H15" i="33"/>
  <c r="D15" i="33"/>
  <c r="F15" i="33"/>
  <c r="N15" i="33"/>
  <c r="E15" i="33"/>
  <c r="L15" i="33"/>
  <c r="I15" i="33"/>
  <c r="J15" i="33"/>
  <c r="G15" i="33"/>
  <c r="C15" i="33"/>
  <c r="O15" i="33" s="1"/>
  <c r="K12" i="33"/>
  <c r="J12" i="33"/>
  <c r="N12" i="33"/>
  <c r="L12" i="33"/>
  <c r="F12" i="33"/>
  <c r="G12" i="33"/>
  <c r="C12" i="33"/>
  <c r="H12" i="33"/>
  <c r="I12" i="33"/>
  <c r="E12" i="33"/>
  <c r="M12" i="33"/>
  <c r="D12" i="33"/>
  <c r="K20" i="33"/>
  <c r="D20" i="33"/>
  <c r="J20" i="33"/>
  <c r="H20" i="33"/>
  <c r="E20" i="33"/>
  <c r="L20" i="33"/>
  <c r="M20" i="33"/>
  <c r="I20" i="33"/>
  <c r="F20" i="33"/>
  <c r="G20" i="33"/>
  <c r="N20" i="33"/>
  <c r="C20" i="33"/>
  <c r="O20" i="33" s="1"/>
  <c r="K17" i="33"/>
  <c r="F17" i="33"/>
  <c r="C17" i="33"/>
  <c r="L17" i="33"/>
  <c r="D17" i="33"/>
  <c r="E17" i="33"/>
  <c r="M17" i="33"/>
  <c r="N17" i="33"/>
  <c r="H17" i="33"/>
  <c r="I17" i="33"/>
  <c r="J17" i="33"/>
  <c r="G17" i="33"/>
  <c r="K18" i="33"/>
  <c r="F18" i="33"/>
  <c r="E18" i="33"/>
  <c r="L18" i="33"/>
  <c r="H18" i="33"/>
  <c r="M18" i="33"/>
  <c r="I18" i="33"/>
  <c r="D18" i="33"/>
  <c r="J18" i="33"/>
  <c r="C18" i="33"/>
  <c r="G18" i="33"/>
  <c r="N18" i="33"/>
  <c r="K21" i="33"/>
  <c r="D21" i="33"/>
  <c r="C21" i="33"/>
  <c r="G21" i="33"/>
  <c r="E21" i="33"/>
  <c r="M21" i="33"/>
  <c r="L21" i="33"/>
  <c r="H21" i="33"/>
  <c r="I21" i="33"/>
  <c r="F21" i="33"/>
  <c r="N21" i="33"/>
  <c r="J21" i="33"/>
  <c r="K7" i="33"/>
  <c r="D7" i="33"/>
  <c r="M7" i="33"/>
  <c r="G7" i="33"/>
  <c r="L7" i="33"/>
  <c r="H7" i="33"/>
  <c r="J7" i="33"/>
  <c r="E7" i="33"/>
  <c r="I7" i="33"/>
  <c r="F7" i="33"/>
  <c r="N7" i="33"/>
  <c r="C7" i="33"/>
  <c r="O7" i="33" s="1"/>
  <c r="F5" i="62"/>
  <c r="G5" i="62"/>
  <c r="H5" i="62"/>
  <c r="B25" i="62"/>
  <c r="D5" i="62"/>
  <c r="I5" i="62"/>
  <c r="E5" i="62"/>
  <c r="M5" i="62"/>
  <c r="L5" i="62"/>
  <c r="J5" i="62"/>
  <c r="N5" i="62"/>
  <c r="C5" i="62"/>
  <c r="O5" i="62" s="1"/>
  <c r="K5" i="62"/>
  <c r="K14" i="33"/>
  <c r="E14" i="33"/>
  <c r="L14" i="33"/>
  <c r="I14" i="33"/>
  <c r="D14" i="33"/>
  <c r="F14" i="33"/>
  <c r="J14" i="33"/>
  <c r="C14" i="33"/>
  <c r="M14" i="33"/>
  <c r="H14" i="33"/>
  <c r="G14" i="33"/>
  <c r="N14" i="33"/>
  <c r="K13" i="62"/>
  <c r="G13" i="62"/>
  <c r="E13" i="62"/>
  <c r="L13" i="62"/>
  <c r="J13" i="62"/>
  <c r="H13" i="62"/>
  <c r="D13" i="62"/>
  <c r="M13" i="62"/>
  <c r="I13" i="62"/>
  <c r="F13" i="62"/>
  <c r="N13" i="62"/>
  <c r="C13" i="62"/>
  <c r="K23" i="33"/>
  <c r="L23" i="33"/>
  <c r="M23" i="33"/>
  <c r="N23" i="33"/>
  <c r="E23" i="33"/>
  <c r="H23" i="33"/>
  <c r="I23" i="33"/>
  <c r="J23" i="33"/>
  <c r="D23" i="33"/>
  <c r="F23" i="33"/>
  <c r="C23" i="33"/>
  <c r="G23" i="33"/>
  <c r="K16" i="33"/>
  <c r="F16" i="33"/>
  <c r="J16" i="33"/>
  <c r="G16" i="33"/>
  <c r="C16" i="33"/>
  <c r="L16" i="33"/>
  <c r="D16" i="33"/>
  <c r="E16" i="33"/>
  <c r="M16" i="33"/>
  <c r="H16" i="33"/>
  <c r="I16" i="33"/>
  <c r="N16" i="33"/>
  <c r="K22" i="33"/>
  <c r="E22" i="33"/>
  <c r="H22" i="33"/>
  <c r="D22" i="33"/>
  <c r="F22" i="33"/>
  <c r="L22" i="33"/>
  <c r="I22" i="33"/>
  <c r="J22" i="33"/>
  <c r="M22" i="33"/>
  <c r="N22" i="33"/>
  <c r="C22" i="33"/>
  <c r="O22" i="33" s="1"/>
  <c r="G22" i="33"/>
  <c r="K10" i="33"/>
  <c r="M10" i="33"/>
  <c r="I10" i="33"/>
  <c r="G10" i="33"/>
  <c r="J10" i="33"/>
  <c r="E10" i="33"/>
  <c r="F10" i="33"/>
  <c r="L10" i="33"/>
  <c r="H10" i="33"/>
  <c r="D10" i="33"/>
  <c r="N10" i="33"/>
  <c r="C10" i="33"/>
  <c r="K24" i="33"/>
  <c r="L24" i="33"/>
  <c r="M24" i="33"/>
  <c r="G24" i="33"/>
  <c r="I24" i="33"/>
  <c r="E24" i="33"/>
  <c r="H24" i="33"/>
  <c r="D24" i="33"/>
  <c r="F24" i="33"/>
  <c r="C24" i="33"/>
  <c r="N24" i="33"/>
  <c r="J24" i="33"/>
  <c r="K11" i="33"/>
  <c r="M11" i="33"/>
  <c r="H11" i="33"/>
  <c r="I11" i="33"/>
  <c r="G11" i="33"/>
  <c r="E11" i="33"/>
  <c r="C11" i="33"/>
  <c r="O11" i="33" s="1"/>
  <c r="D11" i="33"/>
  <c r="F11" i="33"/>
  <c r="L11" i="33"/>
  <c r="J11" i="33"/>
  <c r="N11" i="33"/>
  <c r="K8" i="33"/>
  <c r="N8" i="33"/>
  <c r="J8" i="33"/>
  <c r="I8" i="33"/>
  <c r="D8" i="33"/>
  <c r="E8" i="33"/>
  <c r="L8" i="33"/>
  <c r="H8" i="33"/>
  <c r="F8" i="33"/>
  <c r="C8" i="33"/>
  <c r="M8" i="33"/>
  <c r="G8" i="33"/>
  <c r="K6" i="33"/>
  <c r="E6" i="33"/>
  <c r="L6" i="33"/>
  <c r="I6" i="33"/>
  <c r="F6" i="33"/>
  <c r="G6" i="33"/>
  <c r="M6" i="33"/>
  <c r="H6" i="33"/>
  <c r="D6" i="33"/>
  <c r="J6" i="33"/>
  <c r="C6" i="33"/>
  <c r="O6" i="33" s="1"/>
  <c r="N6" i="33"/>
  <c r="AF29" i="3"/>
  <c r="T28" i="4"/>
  <c r="J29" i="14"/>
  <c r="AD29" i="3"/>
  <c r="AE29" i="3"/>
  <c r="M22" i="3"/>
  <c r="N28" i="3"/>
  <c r="O28" i="3" s="1"/>
  <c r="M26" i="3"/>
  <c r="M24" i="3"/>
  <c r="N24" i="3"/>
  <c r="O24" i="3" s="1"/>
  <c r="M27" i="3"/>
  <c r="L19" i="3"/>
  <c r="M19" i="3" s="1"/>
  <c r="N19" i="3"/>
  <c r="O19" i="3" s="1"/>
  <c r="L15" i="3"/>
  <c r="M15" i="3" s="1"/>
  <c r="N15" i="3"/>
  <c r="O15" i="3" s="1"/>
  <c r="L11" i="3"/>
  <c r="M11" i="3" s="1"/>
  <c r="N11" i="3"/>
  <c r="O11" i="3" s="1"/>
  <c r="L18" i="3"/>
  <c r="M18" i="3" s="1"/>
  <c r="N18" i="3"/>
  <c r="O18" i="3" s="1"/>
  <c r="L14" i="3"/>
  <c r="M14" i="3" s="1"/>
  <c r="N14" i="3"/>
  <c r="O14" i="3" s="1"/>
  <c r="L10" i="3"/>
  <c r="M10" i="3" s="1"/>
  <c r="N10" i="3"/>
  <c r="O10" i="3" s="1"/>
  <c r="K9" i="3"/>
  <c r="J29" i="3"/>
  <c r="N17" i="3"/>
  <c r="O17" i="3" s="1"/>
  <c r="L17" i="3"/>
  <c r="M17" i="3" s="1"/>
  <c r="N13" i="3"/>
  <c r="O13" i="3" s="1"/>
  <c r="L13" i="3"/>
  <c r="M13" i="3" s="1"/>
  <c r="N16" i="3"/>
  <c r="O16" i="3" s="1"/>
  <c r="L16" i="3"/>
  <c r="M16" i="3" s="1"/>
  <c r="N12" i="3"/>
  <c r="O12" i="3" s="1"/>
  <c r="L12" i="3"/>
  <c r="M12" i="3" s="1"/>
  <c r="F9" i="3"/>
  <c r="G9" i="3" s="1"/>
  <c r="D29" i="3"/>
  <c r="F29" i="3" s="1"/>
  <c r="M23" i="3"/>
  <c r="O16" i="33" l="1"/>
  <c r="O18" i="33"/>
  <c r="F6" i="50"/>
  <c r="F5" i="56"/>
  <c r="E6" i="50"/>
  <c r="E5" i="56"/>
  <c r="D6" i="50"/>
  <c r="D5" i="56"/>
  <c r="L7" i="56"/>
  <c r="L8" i="50"/>
  <c r="C7" i="56"/>
  <c r="C8" i="50"/>
  <c r="O10" i="51"/>
  <c r="M7" i="56"/>
  <c r="M8" i="50"/>
  <c r="G11" i="50"/>
  <c r="G10" i="56"/>
  <c r="L11" i="50"/>
  <c r="L10" i="56"/>
  <c r="I11" i="50"/>
  <c r="I10" i="56"/>
  <c r="C23" i="56"/>
  <c r="C24" i="50"/>
  <c r="O26" i="51"/>
  <c r="G23" i="56"/>
  <c r="G24" i="50"/>
  <c r="M24" i="50"/>
  <c r="M23" i="56"/>
  <c r="F9" i="56"/>
  <c r="F10" i="50"/>
  <c r="I10" i="50"/>
  <c r="I9" i="56"/>
  <c r="H9" i="56"/>
  <c r="H10" i="50"/>
  <c r="F21" i="56"/>
  <c r="F22" i="50"/>
  <c r="I22" i="50"/>
  <c r="I21" i="56"/>
  <c r="D21" i="56"/>
  <c r="D22" i="50"/>
  <c r="D16" i="50"/>
  <c r="D15" i="56"/>
  <c r="E15" i="56"/>
  <c r="E16" i="50"/>
  <c r="L16" i="50"/>
  <c r="L15" i="56"/>
  <c r="D22" i="56"/>
  <c r="D23" i="50"/>
  <c r="N23" i="50"/>
  <c r="N22" i="56"/>
  <c r="K23" i="50"/>
  <c r="K22" i="56"/>
  <c r="G12" i="56"/>
  <c r="G13" i="50"/>
  <c r="M12" i="56"/>
  <c r="M13" i="50"/>
  <c r="H12" i="56"/>
  <c r="H13" i="50"/>
  <c r="F13" i="56"/>
  <c r="F14" i="50"/>
  <c r="E14" i="50"/>
  <c r="E13" i="56"/>
  <c r="D14" i="50"/>
  <c r="D13" i="56"/>
  <c r="H4" i="56"/>
  <c r="H5" i="50"/>
  <c r="H27" i="51"/>
  <c r="F4" i="56"/>
  <c r="F27" i="51"/>
  <c r="F5" i="50"/>
  <c r="C4" i="56"/>
  <c r="C27" i="51"/>
  <c r="C5" i="50"/>
  <c r="O7" i="51"/>
  <c r="J7" i="50"/>
  <c r="J6" i="56"/>
  <c r="C6" i="56"/>
  <c r="C7" i="50"/>
  <c r="O9" i="51"/>
  <c r="E7" i="50"/>
  <c r="E6" i="56"/>
  <c r="J21" i="50"/>
  <c r="J20" i="56"/>
  <c r="M21" i="50"/>
  <c r="M20" i="56"/>
  <c r="G20" i="56"/>
  <c r="G21" i="50"/>
  <c r="J18" i="50"/>
  <c r="J17" i="56"/>
  <c r="M17" i="56"/>
  <c r="M18" i="50"/>
  <c r="C17" i="56"/>
  <c r="C18" i="50"/>
  <c r="O20" i="51"/>
  <c r="J17" i="50"/>
  <c r="J16" i="56"/>
  <c r="H17" i="50"/>
  <c r="H16" i="56"/>
  <c r="D17" i="50"/>
  <c r="D16" i="56"/>
  <c r="J20" i="50"/>
  <c r="J19" i="56"/>
  <c r="L19" i="56"/>
  <c r="L20" i="50"/>
  <c r="I20" i="50"/>
  <c r="I19" i="56"/>
  <c r="J12" i="50"/>
  <c r="J11" i="56"/>
  <c r="I11" i="56"/>
  <c r="I12" i="50"/>
  <c r="G12" i="50"/>
  <c r="G11" i="56"/>
  <c r="J15" i="50"/>
  <c r="J14" i="56"/>
  <c r="I15" i="50"/>
  <c r="I14" i="56"/>
  <c r="C14" i="56"/>
  <c r="C15" i="50"/>
  <c r="O17" i="51"/>
  <c r="J9" i="50"/>
  <c r="J8" i="56"/>
  <c r="F8" i="56"/>
  <c r="F9" i="50"/>
  <c r="D9" i="50"/>
  <c r="D8" i="56"/>
  <c r="J18" i="56"/>
  <c r="J19" i="50"/>
  <c r="M18" i="56"/>
  <c r="M19" i="50"/>
  <c r="H18" i="56"/>
  <c r="H19" i="50"/>
  <c r="O10" i="33"/>
  <c r="O13" i="62"/>
  <c r="O14" i="33"/>
  <c r="O9" i="33"/>
  <c r="O5" i="33"/>
  <c r="K6" i="50"/>
  <c r="K5" i="56"/>
  <c r="I5" i="56"/>
  <c r="I6" i="50"/>
  <c r="H6" i="50"/>
  <c r="H5" i="56"/>
  <c r="K7" i="56"/>
  <c r="K8" i="50"/>
  <c r="E7" i="56"/>
  <c r="E8" i="50"/>
  <c r="N7" i="56"/>
  <c r="N8" i="50"/>
  <c r="C10" i="56"/>
  <c r="C11" i="50"/>
  <c r="O13" i="51"/>
  <c r="F11" i="50"/>
  <c r="F10" i="56"/>
  <c r="N11" i="50"/>
  <c r="N10" i="56"/>
  <c r="H23" i="56"/>
  <c r="H24" i="50"/>
  <c r="E23" i="56"/>
  <c r="E24" i="50"/>
  <c r="F24" i="50"/>
  <c r="F23" i="56"/>
  <c r="E9" i="56"/>
  <c r="E10" i="50"/>
  <c r="K9" i="56"/>
  <c r="K10" i="50"/>
  <c r="L10" i="50"/>
  <c r="L9" i="56"/>
  <c r="K21" i="56"/>
  <c r="K22" i="50"/>
  <c r="N21" i="56"/>
  <c r="N22" i="50"/>
  <c r="H21" i="56"/>
  <c r="H22" i="50"/>
  <c r="K15" i="56"/>
  <c r="K16" i="50"/>
  <c r="M16" i="50"/>
  <c r="M15" i="56"/>
  <c r="N15" i="56"/>
  <c r="N16" i="50"/>
  <c r="I22" i="56"/>
  <c r="I23" i="50"/>
  <c r="F23" i="50"/>
  <c r="F22" i="56"/>
  <c r="H23" i="50"/>
  <c r="H22" i="56"/>
  <c r="D13" i="50"/>
  <c r="D12" i="56"/>
  <c r="K13" i="50"/>
  <c r="K12" i="56"/>
  <c r="I13" i="50"/>
  <c r="I12" i="56"/>
  <c r="C13" i="56"/>
  <c r="C14" i="50"/>
  <c r="O16" i="51"/>
  <c r="I13" i="56"/>
  <c r="I14" i="50"/>
  <c r="L13" i="56"/>
  <c r="L14" i="50"/>
  <c r="D4" i="56"/>
  <c r="D5" i="50"/>
  <c r="D27" i="51"/>
  <c r="M4" i="56"/>
  <c r="M27" i="51"/>
  <c r="M5" i="50"/>
  <c r="I5" i="50"/>
  <c r="I4" i="56"/>
  <c r="I27" i="51"/>
  <c r="N6" i="56"/>
  <c r="N7" i="50"/>
  <c r="F6" i="56"/>
  <c r="F7" i="50"/>
  <c r="D7" i="50"/>
  <c r="D6" i="56"/>
  <c r="L21" i="50"/>
  <c r="L20" i="56"/>
  <c r="H21" i="50"/>
  <c r="H20" i="56"/>
  <c r="C20" i="56"/>
  <c r="C21" i="50"/>
  <c r="O23" i="51"/>
  <c r="E18" i="50"/>
  <c r="E17" i="56"/>
  <c r="F18" i="50"/>
  <c r="F17" i="56"/>
  <c r="D18" i="50"/>
  <c r="D17" i="56"/>
  <c r="L16" i="56"/>
  <c r="L17" i="50"/>
  <c r="C16" i="56"/>
  <c r="C17" i="50"/>
  <c r="O19" i="51"/>
  <c r="N16" i="56"/>
  <c r="N17" i="50"/>
  <c r="C19" i="56"/>
  <c r="C20" i="50"/>
  <c r="O22" i="51"/>
  <c r="K19" i="56"/>
  <c r="K20" i="50"/>
  <c r="H20" i="50"/>
  <c r="H19" i="56"/>
  <c r="L11" i="56"/>
  <c r="L12" i="50"/>
  <c r="M12" i="50"/>
  <c r="M11" i="56"/>
  <c r="C11" i="56"/>
  <c r="C12" i="50"/>
  <c r="O14" i="51"/>
  <c r="K15" i="50"/>
  <c r="K14" i="56"/>
  <c r="N15" i="50"/>
  <c r="N14" i="56"/>
  <c r="H15" i="50"/>
  <c r="H14" i="56"/>
  <c r="N8" i="56"/>
  <c r="N9" i="50"/>
  <c r="K9" i="50"/>
  <c r="K8" i="56"/>
  <c r="L8" i="56"/>
  <c r="L9" i="50"/>
  <c r="E19" i="50"/>
  <c r="E18" i="56"/>
  <c r="F19" i="50"/>
  <c r="F18" i="56"/>
  <c r="L19" i="50"/>
  <c r="L18" i="56"/>
  <c r="O23" i="33"/>
  <c r="G5" i="56"/>
  <c r="G6" i="50"/>
  <c r="M5" i="56"/>
  <c r="M6" i="50"/>
  <c r="L6" i="50"/>
  <c r="L5" i="56"/>
  <c r="H8" i="50"/>
  <c r="H7" i="56"/>
  <c r="D7" i="56"/>
  <c r="D8" i="50"/>
  <c r="F8" i="50"/>
  <c r="F7" i="56"/>
  <c r="H10" i="56"/>
  <c r="H11" i="50"/>
  <c r="E11" i="50"/>
  <c r="E10" i="56"/>
  <c r="M11" i="50"/>
  <c r="M10" i="56"/>
  <c r="L24" i="50"/>
  <c r="L23" i="56"/>
  <c r="D24" i="50"/>
  <c r="D23" i="56"/>
  <c r="N23" i="56"/>
  <c r="N24" i="50"/>
  <c r="M10" i="50"/>
  <c r="M9" i="56"/>
  <c r="G10" i="50"/>
  <c r="G9" i="56"/>
  <c r="D9" i="56"/>
  <c r="D10" i="50"/>
  <c r="G21" i="56"/>
  <c r="G22" i="50"/>
  <c r="E21" i="56"/>
  <c r="E22" i="50"/>
  <c r="L21" i="56"/>
  <c r="L22" i="50"/>
  <c r="G16" i="50"/>
  <c r="G15" i="56"/>
  <c r="I16" i="50"/>
  <c r="I15" i="56"/>
  <c r="F16" i="50"/>
  <c r="F15" i="56"/>
  <c r="L23" i="50"/>
  <c r="L22" i="56"/>
  <c r="C22" i="56"/>
  <c r="C23" i="50"/>
  <c r="O25" i="51"/>
  <c r="G22" i="56"/>
  <c r="G23" i="50"/>
  <c r="N13" i="50"/>
  <c r="N12" i="56"/>
  <c r="F13" i="50"/>
  <c r="F12" i="56"/>
  <c r="E12" i="56"/>
  <c r="E13" i="50"/>
  <c r="K14" i="50"/>
  <c r="K13" i="56"/>
  <c r="N14" i="50"/>
  <c r="N13" i="56"/>
  <c r="H14" i="50"/>
  <c r="H13" i="56"/>
  <c r="N4" i="56"/>
  <c r="N27" i="51"/>
  <c r="N5" i="50"/>
  <c r="K4" i="56"/>
  <c r="K27" i="51"/>
  <c r="K5" i="50"/>
  <c r="E4" i="56"/>
  <c r="E5" i="50"/>
  <c r="E27" i="51"/>
  <c r="G6" i="56"/>
  <c r="G7" i="50"/>
  <c r="M6" i="56"/>
  <c r="M7" i="50"/>
  <c r="I6" i="56"/>
  <c r="I7" i="50"/>
  <c r="D21" i="50"/>
  <c r="D20" i="56"/>
  <c r="F20" i="56"/>
  <c r="F21" i="50"/>
  <c r="I21" i="50"/>
  <c r="I20" i="56"/>
  <c r="I17" i="56"/>
  <c r="I18" i="50"/>
  <c r="K17" i="56"/>
  <c r="K18" i="50"/>
  <c r="L18" i="50"/>
  <c r="L17" i="56"/>
  <c r="K16" i="56"/>
  <c r="K17" i="50"/>
  <c r="F16" i="56"/>
  <c r="F17" i="50"/>
  <c r="I17" i="50"/>
  <c r="I16" i="56"/>
  <c r="E20" i="50"/>
  <c r="E19" i="56"/>
  <c r="G20" i="50"/>
  <c r="G19" i="56"/>
  <c r="F20" i="50"/>
  <c r="F19" i="56"/>
  <c r="E11" i="56"/>
  <c r="E12" i="50"/>
  <c r="H11" i="56"/>
  <c r="H12" i="50"/>
  <c r="F11" i="56"/>
  <c r="F12" i="50"/>
  <c r="E15" i="50"/>
  <c r="E14" i="56"/>
  <c r="M15" i="50"/>
  <c r="M14" i="56"/>
  <c r="L15" i="50"/>
  <c r="L14" i="56"/>
  <c r="M9" i="50"/>
  <c r="M8" i="56"/>
  <c r="G9" i="50"/>
  <c r="G8" i="56"/>
  <c r="E8" i="56"/>
  <c r="E9" i="50"/>
  <c r="I18" i="56"/>
  <c r="I19" i="50"/>
  <c r="D19" i="50"/>
  <c r="D18" i="56"/>
  <c r="K19" i="50"/>
  <c r="K18" i="56"/>
  <c r="O8" i="33"/>
  <c r="O24" i="33"/>
  <c r="O21" i="33"/>
  <c r="O17" i="33"/>
  <c r="O12" i="33"/>
  <c r="O19" i="33"/>
  <c r="O7" i="62"/>
  <c r="O21" i="62"/>
  <c r="O18" i="62"/>
  <c r="O17" i="62"/>
  <c r="O20" i="62"/>
  <c r="O12" i="62"/>
  <c r="O15" i="62"/>
  <c r="O9" i="62"/>
  <c r="O19" i="62"/>
  <c r="J5" i="56"/>
  <c r="O5" i="56" s="1"/>
  <c r="J6" i="50"/>
  <c r="C5" i="56"/>
  <c r="C6" i="50"/>
  <c r="O8" i="51"/>
  <c r="N6" i="50"/>
  <c r="N5" i="56"/>
  <c r="J8" i="50"/>
  <c r="J7" i="56"/>
  <c r="G8" i="50"/>
  <c r="G7" i="56"/>
  <c r="I8" i="50"/>
  <c r="I7" i="56"/>
  <c r="J11" i="50"/>
  <c r="J10" i="56"/>
  <c r="K10" i="56"/>
  <c r="K11" i="50"/>
  <c r="D11" i="50"/>
  <c r="D10" i="56"/>
  <c r="J23" i="56"/>
  <c r="J24" i="50"/>
  <c r="K24" i="50"/>
  <c r="K23" i="56"/>
  <c r="I23" i="56"/>
  <c r="I24" i="50"/>
  <c r="J10" i="50"/>
  <c r="J9" i="56"/>
  <c r="C9" i="56"/>
  <c r="C10" i="50"/>
  <c r="O12" i="51"/>
  <c r="N9" i="56"/>
  <c r="N10" i="50"/>
  <c r="J22" i="50"/>
  <c r="J21" i="56"/>
  <c r="O21" i="56" s="1"/>
  <c r="C21" i="56"/>
  <c r="C22" i="50"/>
  <c r="O24" i="51"/>
  <c r="M22" i="50"/>
  <c r="M21" i="56"/>
  <c r="J16" i="50"/>
  <c r="J15" i="56"/>
  <c r="C15" i="56"/>
  <c r="C16" i="50"/>
  <c r="O18" i="51"/>
  <c r="H15" i="56"/>
  <c r="H16" i="50"/>
  <c r="J23" i="50"/>
  <c r="J22" i="56"/>
  <c r="E22" i="56"/>
  <c r="E23" i="50"/>
  <c r="M23" i="50"/>
  <c r="M22" i="56"/>
  <c r="J13" i="50"/>
  <c r="J12" i="56"/>
  <c r="L13" i="50"/>
  <c r="L12" i="56"/>
  <c r="C12" i="56"/>
  <c r="C13" i="50"/>
  <c r="O13" i="50" s="1"/>
  <c r="O15" i="51"/>
  <c r="J14" i="50"/>
  <c r="J13" i="56"/>
  <c r="O13" i="56" s="1"/>
  <c r="G13" i="56"/>
  <c r="G14" i="50"/>
  <c r="M13" i="56"/>
  <c r="M14" i="50"/>
  <c r="J5" i="50"/>
  <c r="J25" i="50" s="1"/>
  <c r="J4" i="56"/>
  <c r="J27" i="51"/>
  <c r="L4" i="56"/>
  <c r="L24" i="56" s="1"/>
  <c r="L27" i="51"/>
  <c r="L5" i="50"/>
  <c r="G4" i="56"/>
  <c r="G27" i="51"/>
  <c r="G5" i="50"/>
  <c r="L6" i="56"/>
  <c r="L7" i="50"/>
  <c r="K6" i="56"/>
  <c r="K7" i="50"/>
  <c r="H6" i="56"/>
  <c r="H7" i="50"/>
  <c r="N21" i="50"/>
  <c r="N20" i="56"/>
  <c r="K21" i="50"/>
  <c r="K20" i="56"/>
  <c r="E20" i="56"/>
  <c r="E21" i="50"/>
  <c r="N17" i="56"/>
  <c r="N18" i="50"/>
  <c r="G18" i="50"/>
  <c r="G17" i="56"/>
  <c r="H18" i="50"/>
  <c r="H17" i="56"/>
  <c r="G17" i="50"/>
  <c r="G16" i="56"/>
  <c r="M16" i="56"/>
  <c r="M17" i="50"/>
  <c r="E16" i="56"/>
  <c r="E17" i="50"/>
  <c r="M19" i="56"/>
  <c r="M20" i="50"/>
  <c r="D20" i="50"/>
  <c r="D19" i="56"/>
  <c r="N20" i="50"/>
  <c r="N19" i="56"/>
  <c r="D11" i="56"/>
  <c r="D12" i="50"/>
  <c r="K11" i="56"/>
  <c r="K12" i="50"/>
  <c r="N11" i="56"/>
  <c r="N12" i="50"/>
  <c r="D15" i="50"/>
  <c r="D14" i="56"/>
  <c r="G14" i="56"/>
  <c r="G15" i="50"/>
  <c r="F14" i="56"/>
  <c r="F15" i="50"/>
  <c r="H9" i="50"/>
  <c r="H8" i="56"/>
  <c r="C8" i="56"/>
  <c r="C9" i="50"/>
  <c r="O11" i="51"/>
  <c r="I9" i="50"/>
  <c r="I8" i="56"/>
  <c r="N19" i="50"/>
  <c r="N18" i="56"/>
  <c r="G18" i="56"/>
  <c r="G19" i="50"/>
  <c r="C18" i="56"/>
  <c r="C19" i="50"/>
  <c r="O21" i="51"/>
  <c r="H9" i="3"/>
  <c r="H29" i="3" s="1"/>
  <c r="G29" i="3"/>
  <c r="L9" i="3"/>
  <c r="N9" i="3"/>
  <c r="K29" i="3"/>
  <c r="L25" i="50" l="1"/>
  <c r="O4" i="56"/>
  <c r="J24" i="56"/>
  <c r="O23" i="50"/>
  <c r="O9" i="56"/>
  <c r="O10" i="56"/>
  <c r="N24" i="56"/>
  <c r="M25" i="50"/>
  <c r="D25" i="50"/>
  <c r="O9" i="50"/>
  <c r="O11" i="56"/>
  <c r="O16" i="56"/>
  <c r="O18" i="50"/>
  <c r="O6" i="56"/>
  <c r="F24" i="56"/>
  <c r="G25" i="50"/>
  <c r="O12" i="56"/>
  <c r="O10" i="50"/>
  <c r="O11" i="50"/>
  <c r="O6" i="50"/>
  <c r="E25" i="50"/>
  <c r="K24" i="56"/>
  <c r="D24" i="56"/>
  <c r="O19" i="50"/>
  <c r="O17" i="50"/>
  <c r="O20" i="56"/>
  <c r="O7" i="50"/>
  <c r="C24" i="56"/>
  <c r="O24" i="50"/>
  <c r="O15" i="56"/>
  <c r="O22" i="50"/>
  <c r="O7" i="56"/>
  <c r="E24" i="56"/>
  <c r="N25" i="50"/>
  <c r="O12" i="50"/>
  <c r="I24" i="56"/>
  <c r="M24" i="56"/>
  <c r="O18" i="56"/>
  <c r="O14" i="56"/>
  <c r="O19" i="56"/>
  <c r="O21" i="50"/>
  <c r="F25" i="50"/>
  <c r="H25" i="50"/>
  <c r="G24" i="56"/>
  <c r="O27" i="51"/>
  <c r="O14" i="50"/>
  <c r="O22" i="56"/>
  <c r="O16" i="50"/>
  <c r="O23" i="56"/>
  <c r="O8" i="50"/>
  <c r="K25" i="50"/>
  <c r="I25" i="50"/>
  <c r="O8" i="56"/>
  <c r="O15" i="50"/>
  <c r="O20" i="50"/>
  <c r="O17" i="56"/>
  <c r="C25" i="50"/>
  <c r="O25" i="50" s="1"/>
  <c r="O5" i="50"/>
  <c r="H24" i="56"/>
  <c r="O9" i="3"/>
  <c r="N29" i="3"/>
  <c r="M9" i="3"/>
  <c r="L29" i="3"/>
  <c r="M29" i="3" s="1"/>
  <c r="O24" i="56" l="1"/>
  <c r="O29" i="3"/>
  <c r="P9" i="3" s="1"/>
  <c r="Q9" i="3" l="1"/>
  <c r="P15" i="3"/>
  <c r="Q15" i="3" s="1"/>
  <c r="R15" i="3" s="1"/>
  <c r="P18" i="3"/>
  <c r="Q18" i="3" s="1"/>
  <c r="R18" i="3" s="1"/>
  <c r="P17" i="3"/>
  <c r="Q17" i="3" s="1"/>
  <c r="R17" i="3" s="1"/>
  <c r="P11" i="3"/>
  <c r="Q11" i="3" s="1"/>
  <c r="R11" i="3" s="1"/>
  <c r="P12" i="3"/>
  <c r="Q12" i="3" s="1"/>
  <c r="R12" i="3" s="1"/>
  <c r="P16" i="3"/>
  <c r="Q16" i="3" s="1"/>
  <c r="R16" i="3" s="1"/>
  <c r="P19" i="3"/>
  <c r="Q19" i="3" s="1"/>
  <c r="R19" i="3" s="1"/>
  <c r="P14" i="3"/>
  <c r="Q14" i="3" s="1"/>
  <c r="R14" i="3" s="1"/>
  <c r="P10" i="3"/>
  <c r="Q10" i="3" s="1"/>
  <c r="R10" i="3" s="1"/>
  <c r="P13" i="3"/>
  <c r="Q13" i="3" s="1"/>
  <c r="R13" i="3" s="1"/>
  <c r="P21" i="3"/>
  <c r="Q21" i="3" s="1"/>
  <c r="R21" i="3" s="1"/>
  <c r="P24" i="3"/>
  <c r="Q24" i="3" s="1"/>
  <c r="R24" i="3" s="1"/>
  <c r="P22" i="3"/>
  <c r="Q22" i="3" s="1"/>
  <c r="R22" i="3" s="1"/>
  <c r="P27" i="3"/>
  <c r="Q27" i="3" s="1"/>
  <c r="R27" i="3" s="1"/>
  <c r="P25" i="3"/>
  <c r="Q25" i="3" s="1"/>
  <c r="R25" i="3" s="1"/>
  <c r="P26" i="3"/>
  <c r="Q26" i="3" s="1"/>
  <c r="R26" i="3" s="1"/>
  <c r="P20" i="3"/>
  <c r="Q20" i="3" s="1"/>
  <c r="R20" i="3" s="1"/>
  <c r="P23" i="3"/>
  <c r="Q23" i="3" s="1"/>
  <c r="R23" i="3" s="1"/>
  <c r="P28" i="3"/>
  <c r="Q28" i="3" s="1"/>
  <c r="R28" i="3" s="1"/>
  <c r="T29" i="3"/>
  <c r="R9" i="3" l="1"/>
  <c r="R29" i="3" s="1"/>
  <c r="Q29" i="3"/>
  <c r="P29" i="3"/>
  <c r="J9" i="13"/>
  <c r="K9" i="8"/>
  <c r="K29" i="8" s="1"/>
  <c r="J29" i="13" l="1"/>
  <c r="AG9" i="3"/>
  <c r="AG29" i="3" s="1"/>
  <c r="Y9" i="3"/>
  <c r="Y29" i="3" s="1"/>
</calcChain>
</file>

<file path=xl/sharedStrings.xml><?xml version="1.0" encoding="utf-8"?>
<sst xmlns="http://schemas.openxmlformats.org/spreadsheetml/2006/main" count="2694" uniqueCount="474">
  <si>
    <t>FONDO GENERAL DE PARTICIPACIONES</t>
  </si>
  <si>
    <t>ENERO</t>
  </si>
  <si>
    <t>FEBRERO</t>
  </si>
  <si>
    <t>MARZO</t>
  </si>
  <si>
    <t>ABRIL</t>
  </si>
  <si>
    <t>MAYO</t>
  </si>
  <si>
    <t>JUNIO</t>
  </si>
  <si>
    <t>JULIO</t>
  </si>
  <si>
    <t>AGOSTO</t>
  </si>
  <si>
    <t>SEPTIEMBRE</t>
  </si>
  <si>
    <t>OCTUBRE</t>
  </si>
  <si>
    <t>NOVIEMBRE</t>
  </si>
  <si>
    <t>DICIEMBRE</t>
  </si>
  <si>
    <t>17</t>
  </si>
  <si>
    <t>MUNICIPIO</t>
  </si>
  <si>
    <t xml:space="preserve">Factor de Distribuciòn </t>
  </si>
  <si>
    <t>Primera parte del Coeficiente 60% (relativa a Poblaciòn)</t>
  </si>
  <si>
    <t>Segunda parte del fondo 30% (relativa a Recaudación)</t>
  </si>
  <si>
    <t>Suma de Asignaciones</t>
  </si>
  <si>
    <t>Tercera parte del fondo 10% (relativa a Resarcitoria)</t>
  </si>
  <si>
    <t>IMPORTE</t>
  </si>
  <si>
    <t>Distribuido</t>
  </si>
  <si>
    <t xml:space="preserve">Población </t>
  </si>
  <si>
    <t>Coeficiente</t>
  </si>
  <si>
    <t xml:space="preserve">coeficiente </t>
  </si>
  <si>
    <t>Distribucion</t>
  </si>
  <si>
    <t>Recaudacion Agua Potable y Predial</t>
  </si>
  <si>
    <t>Coeficiente de Participacion</t>
  </si>
  <si>
    <t>Distribucion del FGP</t>
  </si>
  <si>
    <t>Porcentaje que representa</t>
  </si>
  <si>
    <t>Coeficiente 3</t>
  </si>
  <si>
    <t>en</t>
  </si>
  <si>
    <t xml:space="preserve">de </t>
  </si>
  <si>
    <t>efectivo</t>
  </si>
  <si>
    <t>del FGP</t>
  </si>
  <si>
    <t>de Participaciòn</t>
  </si>
  <si>
    <t>Resarcitorio</t>
  </si>
  <si>
    <t>2014</t>
  </si>
  <si>
    <t>Relativa</t>
  </si>
  <si>
    <t>Absoluta</t>
  </si>
  <si>
    <t>Participacion</t>
  </si>
  <si>
    <t>2014/2013</t>
  </si>
  <si>
    <t>C 2</t>
  </si>
  <si>
    <t>resarcitoria</t>
  </si>
  <si>
    <t>Inverso en $</t>
  </si>
  <si>
    <t>$</t>
  </si>
  <si>
    <t>Acaponeta</t>
  </si>
  <si>
    <t>Ahuacatlán</t>
  </si>
  <si>
    <t>Amatlán de Cañas</t>
  </si>
  <si>
    <t>Bahía de Banderas</t>
  </si>
  <si>
    <t>Compostela</t>
  </si>
  <si>
    <t>El Nayar</t>
  </si>
  <si>
    <t>Huajicori</t>
  </si>
  <si>
    <t>Ixtlán del Río</t>
  </si>
  <si>
    <t>Jala</t>
  </si>
  <si>
    <t>La Yesca</t>
  </si>
  <si>
    <t>Rosamorada</t>
  </si>
  <si>
    <t>Ruiz</t>
  </si>
  <si>
    <t>San Blas</t>
  </si>
  <si>
    <t>San Pedro Lagunillas</t>
  </si>
  <si>
    <t>Santa María del Oro</t>
  </si>
  <si>
    <t>Santiago Ixcuintla</t>
  </si>
  <si>
    <t>Tecuala</t>
  </si>
  <si>
    <t>Tepic</t>
  </si>
  <si>
    <t>Tuxpan</t>
  </si>
  <si>
    <t>Xalisco</t>
  </si>
  <si>
    <t>Totales</t>
  </si>
  <si>
    <t>COEFICIENTE 1</t>
  </si>
  <si>
    <t>COEFICIENTE 2</t>
  </si>
  <si>
    <t>COEFCIENTE 3</t>
  </si>
  <si>
    <t>Población</t>
  </si>
  <si>
    <t>(1)</t>
  </si>
  <si>
    <t>(3)</t>
  </si>
  <si>
    <t>(4)(3=4/∑4)100</t>
  </si>
  <si>
    <t>(5)</t>
  </si>
  <si>
    <t>(7)</t>
  </si>
  <si>
    <t>(8)</t>
  </si>
  <si>
    <t>(9)</t>
  </si>
  <si>
    <t>(10)(9=10/∑10)100</t>
  </si>
  <si>
    <t>(11)</t>
  </si>
  <si>
    <t>(17)</t>
  </si>
  <si>
    <t>FUENTES.</t>
  </si>
  <si>
    <t>Convenio</t>
  </si>
  <si>
    <t>Total</t>
  </si>
  <si>
    <t>Municipios</t>
  </si>
  <si>
    <t>Factor de</t>
  </si>
  <si>
    <t>relativa</t>
  </si>
  <si>
    <t xml:space="preserve"> Rec de Predial y Agua</t>
  </si>
  <si>
    <t>Distribucion x</t>
  </si>
  <si>
    <t>Total Distribucion</t>
  </si>
  <si>
    <t>Distribución</t>
  </si>
  <si>
    <t xml:space="preserve">No. de </t>
  </si>
  <si>
    <t>%</t>
  </si>
  <si>
    <t>del crecimiento</t>
  </si>
  <si>
    <t>35%</t>
  </si>
  <si>
    <t>absoluta</t>
  </si>
  <si>
    <t>30%</t>
  </si>
  <si>
    <t>del F.F.M.</t>
  </si>
  <si>
    <t>(2)</t>
  </si>
  <si>
    <t>(4)</t>
  </si>
  <si>
    <t>(5= 70%/2 x 4)</t>
  </si>
  <si>
    <t>(6)</t>
  </si>
  <si>
    <t>(8=70%/2*7)</t>
  </si>
  <si>
    <t>(10)</t>
  </si>
  <si>
    <t>(12=30%*10)</t>
  </si>
  <si>
    <t>(13=5+8+11)</t>
  </si>
  <si>
    <t>(13=2+9+12)</t>
  </si>
  <si>
    <t>determinado</t>
  </si>
  <si>
    <t>corregido</t>
  </si>
  <si>
    <t>diferencia</t>
  </si>
  <si>
    <t>PUBLICADO</t>
  </si>
  <si>
    <t>DIFERENCIA</t>
  </si>
  <si>
    <t>PIBLICADO</t>
  </si>
  <si>
    <t>No</t>
  </si>
  <si>
    <t>Si</t>
  </si>
  <si>
    <t>NO</t>
  </si>
  <si>
    <t>SI</t>
  </si>
  <si>
    <t>CUADRO COMPARATIVO CON EL CAMBIO DE FORMULAS</t>
  </si>
  <si>
    <t xml:space="preserve">Distribuido </t>
  </si>
  <si>
    <t xml:space="preserve">Crecimiento </t>
  </si>
  <si>
    <t xml:space="preserve">Total con la </t>
  </si>
  <si>
    <t>Diferencias</t>
  </si>
  <si>
    <t xml:space="preserve">en </t>
  </si>
  <si>
    <t>del fondo en</t>
  </si>
  <si>
    <t>FFM a Mpios</t>
  </si>
  <si>
    <t>formula del</t>
  </si>
  <si>
    <t xml:space="preserve">en formulas </t>
  </si>
  <si>
    <t>2014 (100%)</t>
  </si>
  <si>
    <t>2014 (70%)</t>
  </si>
  <si>
    <t>2015 (70%)</t>
  </si>
  <si>
    <t>en 2015</t>
  </si>
  <si>
    <t>2015-2014</t>
  </si>
  <si>
    <t>(6=3+4)</t>
  </si>
  <si>
    <t>Esfuerzo Recaudatorio</t>
  </si>
  <si>
    <t>(6 = 4*5)</t>
  </si>
  <si>
    <t>(7=(6/∑6)100)</t>
  </si>
  <si>
    <t>(9=2+8)</t>
  </si>
  <si>
    <t>modificado</t>
  </si>
  <si>
    <t>Porcentaje</t>
  </si>
  <si>
    <t xml:space="preserve">Coeficiente </t>
  </si>
  <si>
    <t>Coeficiente 1</t>
  </si>
  <si>
    <t>Coeficiente 2</t>
  </si>
  <si>
    <t xml:space="preserve">Suma de </t>
  </si>
  <si>
    <t>Efectivo</t>
  </si>
  <si>
    <t>Coeficientes</t>
  </si>
  <si>
    <t xml:space="preserve">Relativa </t>
  </si>
  <si>
    <t>5=(2+4)</t>
  </si>
  <si>
    <t xml:space="preserve">ACAPONETA </t>
  </si>
  <si>
    <t>AHUACATLAN</t>
  </si>
  <si>
    <t>AMATLAN DE CAÑAS</t>
  </si>
  <si>
    <t>BAHÍA DE BANDERAS</t>
  </si>
  <si>
    <t>COMPOSTELA</t>
  </si>
  <si>
    <t>DEL NAYAR</t>
  </si>
  <si>
    <t>HUAJICORI</t>
  </si>
  <si>
    <t>IXTLAN DEL RIO</t>
  </si>
  <si>
    <t>JALA</t>
  </si>
  <si>
    <t>LA YESCA</t>
  </si>
  <si>
    <t>ROSAMORADA</t>
  </si>
  <si>
    <t>RUIZ</t>
  </si>
  <si>
    <t>SAN BLAS</t>
  </si>
  <si>
    <t>SAN PEDRO LAG.</t>
  </si>
  <si>
    <t>STA. MARIA DEL ORO</t>
  </si>
  <si>
    <t>SANTIAGO IXCUINTLA</t>
  </si>
  <si>
    <t>TECUALA</t>
  </si>
  <si>
    <t>TEPIC</t>
  </si>
  <si>
    <t>TUXPAN</t>
  </si>
  <si>
    <t>XALISCO</t>
  </si>
  <si>
    <t>PREDIAL</t>
  </si>
  <si>
    <t>AGUA</t>
  </si>
  <si>
    <t>TOTAL</t>
  </si>
  <si>
    <t>fuente:</t>
  </si>
  <si>
    <t>Cuadro 9</t>
  </si>
  <si>
    <t>para el 2015</t>
  </si>
  <si>
    <t>7=(2+4+6)</t>
  </si>
  <si>
    <t>8</t>
  </si>
  <si>
    <t>Cuadro No. 1</t>
  </si>
  <si>
    <t>Recaudación Federal Participable Aplicable para el Calculo de las Participaciones a los Municipios</t>
  </si>
  <si>
    <t>CONCEPTO</t>
  </si>
  <si>
    <t xml:space="preserve">Fondo General de Participaciones </t>
  </si>
  <si>
    <t>Fondo General de Participaciones base 2014 (recibido y distribuido en el 2014)</t>
  </si>
  <si>
    <t>Crecimiento del Fondo General de Participaciones (1-2)</t>
  </si>
  <si>
    <t>Fondo General de Participaciones base de Distribución por crecimiento (3 x 22.5%)</t>
  </si>
  <si>
    <t>Fondo General de Participaciones Base 2014 con la formula anterior (2 x 22.5%)</t>
  </si>
  <si>
    <t>Suma (5.1 + 5.2 + 5.3) = (3)</t>
  </si>
  <si>
    <t>Fondo de Fomento Municipal</t>
  </si>
  <si>
    <t>Fondo de Fomento Municipal base 2014 (recibido y distribuido en el 2014)</t>
  </si>
  <si>
    <t>Fondo de Fomento Municipal base de Distribución (3 x 100%)</t>
  </si>
  <si>
    <t>Fondo de Fiscalización y Recaudación</t>
  </si>
  <si>
    <t>Fondo de Fiscalización base 2014 (recibido y distribuido en el 2014)</t>
  </si>
  <si>
    <t>Fondo de Compensacion</t>
  </si>
  <si>
    <t xml:space="preserve">Fondo del Impuesto sobre la Renta </t>
  </si>
  <si>
    <t>Fondo de Impuesto sobre la renta 2014 (recibido y distribuido en el 2014)</t>
  </si>
  <si>
    <t>Impuesto especial sobre producción y servicios (Tabaco y Alcohol)</t>
  </si>
  <si>
    <t>Impuesto Especial s/Produccion y Servicios base (2014 (recibido y distribuido en el 2014)</t>
  </si>
  <si>
    <t>Impuesto especial sobre producción y servicios por Gasolina y Diesel</t>
  </si>
  <si>
    <t>Impuesto sobre Automoviles Nuevos ISAN</t>
  </si>
  <si>
    <t>Fondo de Compensacion sobre el ISAN</t>
  </si>
  <si>
    <r>
      <rPr>
        <b/>
        <sz val="11"/>
        <color theme="1"/>
        <rFont val="Arial"/>
        <family val="2"/>
      </rPr>
      <t>Población:</t>
    </r>
    <r>
      <rPr>
        <sz val="11"/>
        <color theme="1"/>
        <rFont val="Arial"/>
        <family val="2"/>
      </rPr>
      <t xml:space="preserve"> Censo Nacional de Población y Vivienda 2010 de INEGI</t>
    </r>
  </si>
  <si>
    <t>2017/2016</t>
  </si>
  <si>
    <t>Estimado en 2014</t>
  </si>
  <si>
    <t>(9)(8/7)</t>
  </si>
  <si>
    <t>Variación</t>
  </si>
  <si>
    <t>Coeficiente de Participación Relativa</t>
  </si>
  <si>
    <t xml:space="preserve">Efectivo </t>
  </si>
  <si>
    <t>Correspondiente al 60% del Crecimiento    (6)</t>
  </si>
  <si>
    <t>Coeficiente  Resarcitorio Efectivo       10%</t>
  </si>
  <si>
    <t>Habitantes</t>
  </si>
  <si>
    <t>x Población</t>
  </si>
  <si>
    <t>Predial y Agua</t>
  </si>
  <si>
    <t>Distribución x</t>
  </si>
  <si>
    <t>31</t>
  </si>
  <si>
    <t>15</t>
  </si>
  <si>
    <t>16</t>
  </si>
  <si>
    <t>14</t>
  </si>
  <si>
    <t>Cuadro No. 2</t>
  </si>
  <si>
    <t>Cálculo del Coeficiente de Participación Segunda Parte del Fondo General de Participaciones (30%)</t>
  </si>
  <si>
    <t>2016/2017</t>
  </si>
  <si>
    <t>(2=(1/∑1)100)</t>
  </si>
  <si>
    <t>(3=(30%*2)</t>
  </si>
  <si>
    <t>Cuadro No. 3</t>
  </si>
  <si>
    <t>Cálculo del Coeficiente de Participación Tercera Parte del Fondo General de Participaciones (10%)</t>
  </si>
  <si>
    <t>Coeficiente No. 1</t>
  </si>
  <si>
    <t>Coeficiente No. 2</t>
  </si>
  <si>
    <t>Suma de</t>
  </si>
  <si>
    <t>Asignaciones</t>
  </si>
  <si>
    <t>que</t>
  </si>
  <si>
    <t>de Participacion</t>
  </si>
  <si>
    <t xml:space="preserve">Distribucion </t>
  </si>
  <si>
    <t xml:space="preserve">Asignación </t>
  </si>
  <si>
    <t>Asignacion</t>
  </si>
  <si>
    <t>Representan</t>
  </si>
  <si>
    <t>F.G.P.</t>
  </si>
  <si>
    <t xml:space="preserve">(1) </t>
  </si>
  <si>
    <r>
      <rPr>
        <b/>
        <sz val="11"/>
        <color theme="1"/>
        <rFont val="Arial"/>
        <family val="2"/>
      </rPr>
      <t>Recaudacion:</t>
    </r>
    <r>
      <rPr>
        <sz val="11"/>
        <color theme="1"/>
        <rFont val="Arial"/>
        <family val="2"/>
      </rPr>
      <t xml:space="preserve"> Indetec</t>
    </r>
  </si>
  <si>
    <t>Población: Censo Nacional de Población y Vivienda 2010 de INEGI</t>
  </si>
  <si>
    <t>Cuadro para estimar la distribucion inversa en $</t>
  </si>
  <si>
    <t>Municipio</t>
  </si>
  <si>
    <t>Inversa</t>
  </si>
  <si>
    <t>Directa</t>
  </si>
  <si>
    <t>F.G.P. a Mpios</t>
  </si>
  <si>
    <t>Distribución  del C1</t>
  </si>
  <si>
    <t>Distribución  del C2</t>
  </si>
  <si>
    <t>Distribución  del C3</t>
  </si>
  <si>
    <t xml:space="preserve">Distribución Total </t>
  </si>
  <si>
    <t>Factor de Distribución 2014</t>
  </si>
  <si>
    <t>Distribución Total del IEPS a Municipios</t>
  </si>
  <si>
    <t>Coeficiente de Participación</t>
  </si>
  <si>
    <t xml:space="preserve">Suma de Asignaciones </t>
  </si>
  <si>
    <t>(12)</t>
  </si>
  <si>
    <t>Correspondiente al 30% del Crecimiento</t>
  </si>
  <si>
    <t>(13)</t>
  </si>
  <si>
    <t>(14)</t>
  </si>
  <si>
    <t>Porcentaje que Representa los Coeficiente C1 Y C2</t>
  </si>
  <si>
    <t>(15)</t>
  </si>
  <si>
    <t>Inversa Proporcional</t>
  </si>
  <si>
    <t>Porcentaje que Representa la Inversa Proporcional</t>
  </si>
  <si>
    <t>(16)</t>
  </si>
  <si>
    <t>(18)</t>
  </si>
  <si>
    <t>Correspondiente al 10% del Crecimiento</t>
  </si>
  <si>
    <t>Recaudación del Impuesto Predial y Derechos de Suministro de Agua</t>
  </si>
  <si>
    <t xml:space="preserve">Total             </t>
  </si>
  <si>
    <t>(19)</t>
  </si>
  <si>
    <t xml:space="preserve">Recaudación Predial </t>
  </si>
  <si>
    <t>Predial</t>
  </si>
  <si>
    <t>Recaudación Predial y Agua Último Ejercicio</t>
  </si>
  <si>
    <t>Resultado Variación por Población</t>
  </si>
  <si>
    <t>Distribución Total de FOFIR entre Municipios</t>
  </si>
  <si>
    <t>Esfuerzo Recaudatorio Último Ejercicio</t>
  </si>
  <si>
    <t>Distribuido en 2014</t>
  </si>
  <si>
    <t>Información Utilizada para la Determinación de los Porcentajes de Distribución de Participaciones</t>
  </si>
  <si>
    <t>Recaudación Predial y Agua ($)</t>
  </si>
  <si>
    <t>Agua</t>
  </si>
  <si>
    <t>Fondo General de Participaciones</t>
  </si>
  <si>
    <t>Coeficiente Efectivo</t>
  </si>
  <si>
    <t>Importe</t>
  </si>
  <si>
    <t>Componente solo para los que Suscribieron Convenio para el Cobro de Predial</t>
  </si>
  <si>
    <t>Estimación del Fondo de Compensación del Impuesto Sobre Automóviles Nuevos</t>
  </si>
  <si>
    <t>Estimación de los Incentivos por el Impuesto Sobre Automóviles Nuevos</t>
  </si>
  <si>
    <t>(Pesos)</t>
  </si>
  <si>
    <t>GOBIERNO DEL ESTADO DE NAYARIT</t>
  </si>
  <si>
    <t>SECRETARIA DE ADMINISTRACION Y FINANZAS</t>
  </si>
  <si>
    <t>DIRECCION GENERAL DE PARTICIPACIONES FEDERALES</t>
  </si>
  <si>
    <t>DISTRIBUCIÓN A MUNICIPIOS  I.E.P.S. PARA EL EJERCICIO  2014</t>
  </si>
  <si>
    <t>FACTOR DE DISTRIB.</t>
  </si>
  <si>
    <t>ACAPONETA</t>
  </si>
  <si>
    <t xml:space="preserve">BAHIA DE </t>
  </si>
  <si>
    <t>EL NAYAR</t>
  </si>
  <si>
    <t>SAN PEDRO LAGS</t>
  </si>
  <si>
    <t>SANTA MA DEL ORO</t>
  </si>
  <si>
    <t>SANTIAGO</t>
  </si>
  <si>
    <t>T  O  T  A  L</t>
  </si>
  <si>
    <t xml:space="preserve">Las cifras parciales pueden no coincidir con el total debido al redondeo </t>
  </si>
  <si>
    <t>FUENTE:</t>
  </si>
  <si>
    <t>Monto estimado conforme a Ley de Ingresos del estado Libre y Soberano de Nayarit Publicada y Distribuida conforme al Decreto que determinan los factores de Distribucón de las Participaciones y Aportaciones que en Ingresos Federales corresponden a los Municipios de la Entidad para el Ejercicio del año 2014. Publicado el 13 de Diciembre de 2013</t>
  </si>
  <si>
    <t>Factor de Distribución</t>
  </si>
  <si>
    <t>FFM Estimado</t>
  </si>
  <si>
    <t>FUNTES:</t>
  </si>
  <si>
    <t>Las cifras parciales pueden no coincidir con el total debido al redondeo.</t>
  </si>
  <si>
    <t xml:space="preserve">PREDIAL Y AGUA.-Cifras validadas de acuerdo con las reglas 17 al 20 de las reglas de validación de la información para el Cálculo de los Coeficientes de Distribución de las Participaciones Federales con base en el artículo 2 de la Ley de Coordinación Fiscal </t>
  </si>
  <si>
    <r>
      <rPr>
        <b/>
        <i/>
        <sz val="9"/>
        <color theme="1"/>
        <rFont val="Arial"/>
        <family val="2"/>
      </rPr>
      <t>ESTIMACION 2014.-</t>
    </r>
    <r>
      <rPr>
        <i/>
        <sz val="9"/>
        <color theme="1"/>
        <rFont val="Arial"/>
        <family val="2"/>
      </rPr>
      <t xml:space="preserve">  ACUERDO POR EL QUE SE DA A CONOCER EL CALENDARIO DE ENTREGA, PORCENTAJE Y MONTOS ESTIMADOS, QUE RECIBIRAN CADA UNO DE LOS VEINTE MUNICIPIOS DEL ESTADO DE NAYARIT, DEL FONDO GENERAL DE PARTICIPACIONES Y DEL FONDO DE FOMENTO MUNICIPAL PARA EL EJERCICIO FISCAL 2014 PUBLICADO EL 14 DE FEBRERO DE 2014.</t>
    </r>
  </si>
  <si>
    <r>
      <rPr>
        <b/>
        <i/>
        <sz val="9"/>
        <color theme="1"/>
        <rFont val="Arial"/>
        <family val="2"/>
      </rPr>
      <t>PREDIAL Y AGUA.-</t>
    </r>
    <r>
      <rPr>
        <i/>
        <sz val="9"/>
        <color theme="1"/>
        <rFont val="Arial"/>
        <family val="2"/>
      </rPr>
      <t xml:space="preserve"> Cifras validadas de acuerdo con las reglas 17 al 20 de las reglas de validación de la información para el Cálculo de los Coeficientes de Distribución de las Participaciones Federales con base en el artículo 2 de la Ley de Coordinación Fiscal </t>
    </r>
  </si>
  <si>
    <t>(5=2+4)</t>
  </si>
  <si>
    <t>(6= 2+5)</t>
  </si>
  <si>
    <t>(6=5*.10)</t>
  </si>
  <si>
    <t>(8=2+4+7)</t>
  </si>
  <si>
    <t>Participaciones Específicas en el Impuesto Especial Sobre Producción y Servicios</t>
  </si>
  <si>
    <t>Participaciones a la Venta Final de Gasolinas y Diésel</t>
  </si>
  <si>
    <t>Total a Distribuir por Crecimiento 2020</t>
  </si>
  <si>
    <t>SUMA DE COEFICIENTES  EFECTIVOS  PARA 2020</t>
  </si>
  <si>
    <t>FACTOR DE DISTRIBUCION 2014</t>
  </si>
  <si>
    <t>DISTRIBUIDO EN 2014</t>
  </si>
  <si>
    <t>COMPONENTE DEL 70%</t>
  </si>
  <si>
    <t>COMPONENTE DEL 30%</t>
  </si>
  <si>
    <t>COEFICIENTE EFECTIVO DE PARTICIPACION</t>
  </si>
  <si>
    <t xml:space="preserve">FACTOR DE POBLACION FACTOR DIRECTO </t>
  </si>
  <si>
    <t>COEFICIENTE EFECTIVO POR POBLACION</t>
  </si>
  <si>
    <t>FACTOR INVERSO A LA POBLACION</t>
  </si>
  <si>
    <t>PORCENTAJE INVERSO</t>
  </si>
  <si>
    <t>COEFICIENTE EFECTIVO INVERSO A POBLACION (30%)</t>
  </si>
  <si>
    <t>DE</t>
  </si>
  <si>
    <t>FOCO</t>
  </si>
  <si>
    <t>A PARTICIPAR</t>
  </si>
  <si>
    <t>(4= 1*.70)</t>
  </si>
  <si>
    <t>(5 = Inv de 1)</t>
  </si>
  <si>
    <t>(6=5/∑5)100</t>
  </si>
  <si>
    <t>(7=6*.30)</t>
  </si>
  <si>
    <t>(8= 4+7)</t>
  </si>
  <si>
    <t>(10=(2+9)</t>
  </si>
  <si>
    <t>Las cifras parciales pueden no coincidir con el total debido al redondeo</t>
  </si>
  <si>
    <t>FUENTES:</t>
  </si>
  <si>
    <r>
      <t>PREDIAL Y AGUA.-</t>
    </r>
    <r>
      <rPr>
        <sz val="11"/>
        <color theme="1"/>
        <rFont val="Calibri"/>
        <family val="2"/>
        <scheme val="minor"/>
      </rPr>
      <t xml:space="preserve">Cifras validadas de acuerdo con las reglas 17 al 20 de las reglas de validacion de la información para el cálculo de los Coeficientes de Distribución de las Participaciones Federales con base en el artículo 2 de la Ley de Coordinación Fiscal </t>
    </r>
  </si>
  <si>
    <t>CRECIMIENTO DEL FOCO 2020</t>
  </si>
  <si>
    <t>Suma (10.1 + 10.2) = (10)</t>
  </si>
  <si>
    <r>
      <rPr>
        <b/>
        <sz val="11"/>
        <color theme="1"/>
        <rFont val="Arial"/>
        <family val="2"/>
      </rPr>
      <t>Población:</t>
    </r>
    <r>
      <rPr>
        <sz val="11"/>
        <color theme="1"/>
        <rFont val="Arial"/>
        <family val="2"/>
      </rPr>
      <t xml:space="preserve"> Censo Nacional de Población y Vivienda 2015 de INEGI</t>
    </r>
  </si>
  <si>
    <t>ESTIMACION 2014: Acuerdo por el que se da a conocer el porcentaje y montos estimados, que recibirán cada uno de los veinte Municipios del Estado de Nayarit del Fondo de Fiscalización, Fondo de Compensación e Incentivo por Venta de Gasolina y Diesel, para el Ejercicio Fiscal 2014 publicado el 19 de marzo de 2014.</t>
  </si>
  <si>
    <t>ANEXO I</t>
  </si>
  <si>
    <t>MES</t>
  </si>
  <si>
    <t>FONDO DE FOMENTO MUNICIPAL</t>
  </si>
  <si>
    <t>FECHA LIMITE DE ENTREGA</t>
  </si>
  <si>
    <t>7</t>
  </si>
  <si>
    <t>5</t>
  </si>
  <si>
    <t>6</t>
  </si>
  <si>
    <t>4</t>
  </si>
  <si>
    <t>29</t>
  </si>
  <si>
    <t>1</t>
  </si>
  <si>
    <t>30</t>
  </si>
  <si>
    <t>IMPUESTO ESPECIAL SOBRE PRODUCCION Y SERVICIOS</t>
  </si>
  <si>
    <t>NUEVAS POTESTADES (GASOLINA Y DIESEL)</t>
  </si>
  <si>
    <t>FONDO DE FISCALIZACION Y RECAUDACION</t>
  </si>
  <si>
    <t>FONDO DE COMPENSACIÓN DEL IMPUESTO SOBRE AUTOMOVILES NUEVOS</t>
  </si>
  <si>
    <t>DISTRIBUCIÓN A MUNICIPIOS POR PARTICIPACION FEDERAL DEL FONDO DE COMPENSACION DE ISAN EJERCICIO 2020</t>
  </si>
  <si>
    <t>AYUNTAMIENTO</t>
  </si>
  <si>
    <t>DISTRIBUCIÓN A MUNICIPIOS POR PARTICIPACION FEDERAL DEL FONDO DE COMPENSACION EJERCICIO 2020</t>
  </si>
  <si>
    <t>A MUNICIPIOS</t>
  </si>
  <si>
    <t>MUNICIPIOS</t>
  </si>
  <si>
    <t>PARTICIPACION 2017</t>
  </si>
  <si>
    <t>INCREMENTO</t>
  </si>
  <si>
    <t xml:space="preserve">MUNICIPIO </t>
  </si>
  <si>
    <t>DISTRIBUCIÓN A MUNICIPIOS POR PARTICIPACION FEDERAL DEL FONDO DE COMPENSACION EJERCICIO 2014</t>
  </si>
  <si>
    <t>FACTOR DE DISTRIB. 2020</t>
  </si>
  <si>
    <t>DISTRIBUCIÓN A MUNICIPIOS POR PARTICIPACION FEDERAL DEL FONDO DE FISCALIZACION INCRMENTO</t>
  </si>
  <si>
    <t>DISTRIBUCIÓN A MUNICIPIOS POR PARTICIPACION FEDERAL DEL FONDO DE FISCALIZACION EJERCICIO 2014</t>
  </si>
  <si>
    <t>PARTICIPACION A MUNICIPIOS</t>
  </si>
  <si>
    <t>DISTRIBUCIÓN A MUNICIPIOS  INCENTIVO POR VENTA DE GASOLINA Y DIESEL 2014</t>
  </si>
  <si>
    <t>PARTICIPACION AMPIO</t>
  </si>
  <si>
    <t>DISTRIBUCIÓN A MUNICIPIOS  I.E.P.S. 2014</t>
  </si>
  <si>
    <t>DISTRIBUCIÓN A MUNICIPIOS POR PARTICIPACION FEDERAL DEL FONDO DE FOMENTO MUNICIPAL EJERCICIO 2014</t>
  </si>
  <si>
    <t>ESTIMACION</t>
  </si>
  <si>
    <t>FACTOR DE DISTRIB. 70%</t>
  </si>
  <si>
    <t xml:space="preserve">DISTRIBUCIÓN A MUNICIPIOS POR PARTICIPACION FEDERAL DEL FONDO GENERAL DE PARTICIPACIONES POR INCREMENTO </t>
  </si>
  <si>
    <t>PARTICIPACION MUNICIPIOS</t>
  </si>
  <si>
    <t>ESTIMACIONES 2014</t>
  </si>
  <si>
    <t>DISTRIBUCIÓN A MUNICIPIOS POR PARTICIPACION FEDERAL DEL FONDO GENERAL DE PARTICIPACIONES EJERCICIO 2014</t>
  </si>
  <si>
    <t>Ejercicio:                                       2021</t>
  </si>
  <si>
    <t>Fondo General de Participaciones recibido en la Entidad 2021 (determinado por Hacienda)</t>
  </si>
  <si>
    <t>Fondo General de Participaciones crecimiento 2021 (3-4)</t>
  </si>
  <si>
    <t>5.1 Primera parte 60% del crecimiento 2021</t>
  </si>
  <si>
    <t>5.2 Segunda parte 30% del crecimiento 2021</t>
  </si>
  <si>
    <t>5.3 Tercera parte 10% del crecimiento 2021</t>
  </si>
  <si>
    <t>Total Fondo General de Participaciones a distribuir en 2021 (3 + 4)</t>
  </si>
  <si>
    <t>Fondo de Fomento Municipal recibido en la Entidad 2021 (determinado por Hacienda)</t>
  </si>
  <si>
    <t>Crecimiento del Fondo de Fomento Municipal 2021 (1-2)</t>
  </si>
  <si>
    <t>10.1 Primera parte 70% del crecimiento 2021</t>
  </si>
  <si>
    <t>10.2 Segunda parte 30% del crecimiento 2021</t>
  </si>
  <si>
    <t>Total Fondo  de Fomento  Municipal a distribuir en 2021 (8 + 9)</t>
  </si>
  <si>
    <t>Fondo de Fiscalizacion recibido en la Entidad 2021 (determinado por Hacienda)</t>
  </si>
  <si>
    <t>Crecimiento del Fondo de Fiscalizacion en 2021 (9-10)</t>
  </si>
  <si>
    <t>Fondo de Compensacion recibido en la Entidad 2021 (determinado por Hacienda)</t>
  </si>
  <si>
    <t>Crecimiento del Fondo de Compensación en 2021 (12-13)</t>
  </si>
  <si>
    <t>Fondo de Impuesto sobre la renta recibido en la Entidad 2021 (determinado por Hacienda)</t>
  </si>
  <si>
    <t>Crecimiento del Fondo de ISR 2021 (15-16)</t>
  </si>
  <si>
    <t>Impuesto Especial s/Producción y Servicios  recibido en la Entidad 2021 (determinado por Hacienda)</t>
  </si>
  <si>
    <t>Crecimiento del Impuesto Especial s/Producción y Servicios en 2021 (18-19)</t>
  </si>
  <si>
    <t>Impuesto Especial s/Producción y Servicios  (G y D)recibido en la Entidad 2021 (determinado por Hacienda)</t>
  </si>
  <si>
    <t>Crecimiento del Impuesto Especial s/Producción y Servicios en 2021 (21-22)</t>
  </si>
  <si>
    <t>Impuesto sobre automóviles nuevos ISAN, recibido en la Entidad 2021 (determinado por Hacienda)</t>
  </si>
  <si>
    <t>Crecimiento del Impuesto sobre Automóviles Nuevos ISAN en 2021 (24-25)</t>
  </si>
  <si>
    <t>Fondo de Compensacion sobre el ISAN, recibido en la Entidad 2021 (determinado por Hacienda)</t>
  </si>
  <si>
    <t>Calculo de distribución  de la estimación  del Fondo General de Participaciones de 2021</t>
  </si>
  <si>
    <t>Total Fondo de Fondo de Fomento Municipal 2021</t>
  </si>
  <si>
    <t>Calculo de distribución  de la estimación del Fondo de Fomento Municipal de 2021</t>
  </si>
  <si>
    <t>Calculo de distribución de la estimación del Fondo de Compensación a los Municipios de 2021</t>
  </si>
  <si>
    <t>Calculo de distribución  de la estimación del Impuesto Especial Sobre Producción y Servicios de 2021</t>
  </si>
  <si>
    <t>Factor de Distribución 2021</t>
  </si>
  <si>
    <t>Crecimiento del IEPS  en 2021</t>
  </si>
  <si>
    <t>Crecimiento en el Impuesto para 2021</t>
  </si>
  <si>
    <t>Distribución para el 2021</t>
  </si>
  <si>
    <t>Estimación de Participaciones Federales que Recibirán cada uno de los Veinte Municipios del Estado de Nayarit en el Ejercicio Fiscal 2021</t>
  </si>
  <si>
    <t xml:space="preserve"> </t>
  </si>
  <si>
    <t>Población                                2020</t>
  </si>
  <si>
    <t>Censo  de Población y Vivienda  2020</t>
  </si>
  <si>
    <t>Censo de Población y Vivienda 2020 Publicada en el Portal del INEGI 25 de Enero del 2021</t>
  </si>
  <si>
    <t>Censo 2020</t>
  </si>
  <si>
    <t>Población 2020</t>
  </si>
  <si>
    <t>3</t>
  </si>
  <si>
    <t>ENERO 2022</t>
  </si>
  <si>
    <t>ISR BIENES INMUEBLES</t>
  </si>
  <si>
    <t>CALENDARIO DE ENTREGA DE PARTICIPACIONES FEDERALES A LOS MUNICIPIOS CORRESPONDIENTE AL EJERCICIO FISCAL 2021</t>
  </si>
  <si>
    <t>CALENDARIO DE ENTREGA PARA EL EJERCICIO FISCAL 2021</t>
  </si>
  <si>
    <t>IMPUESTO SOBRE LA RENTA</t>
  </si>
  <si>
    <t>IMPUESTO SOBRE AUTOMOVILES NUEVOS</t>
  </si>
  <si>
    <t>Calculo de distribución de la estimación de los Incentivos por el Impuesto Sobre Automóviles Nuevos de 2021</t>
  </si>
  <si>
    <t>Calculo de distribución de la estimación del Fondo de Fiscalización y Recaudación de 2021</t>
  </si>
  <si>
    <t>Crecimiento del FOFIR 2021</t>
  </si>
  <si>
    <t>Calculo de distribución de la estimación del Fondo de Compensación del  Impuesto Sobre Automóviles Nuevos de 2021</t>
  </si>
  <si>
    <r>
      <rPr>
        <b/>
        <i/>
        <sz val="9"/>
        <color theme="1"/>
        <rFont val="Arial"/>
        <family val="2"/>
      </rPr>
      <t xml:space="preserve"> POBLACION.-</t>
    </r>
    <r>
      <rPr>
        <i/>
        <sz val="9"/>
        <color theme="1"/>
        <rFont val="Arial"/>
        <family val="2"/>
      </rPr>
      <t xml:space="preserve"> Censo de Población y Vivienda 2020. publicado el 25 de enero de 2021 en el Portal del INEGI </t>
    </r>
  </si>
  <si>
    <r>
      <rPr>
        <b/>
        <sz val="9"/>
        <color theme="1"/>
        <rFont val="Arial"/>
        <family val="2"/>
      </rPr>
      <t>ESTIMACION 2014.-</t>
    </r>
    <r>
      <rPr>
        <sz val="9"/>
        <color theme="1"/>
        <rFont val="Arial"/>
        <family val="2"/>
      </rPr>
      <t xml:space="preserve">  ACUERDO POR EL QUE SE DA A CONOCER EL CALENDARIO DE ENTREGA, PORCENTAJE Y MONTOS ESTIMADOS, QUE RECIBIRAN CADA UNO DE LOS VEINTE MUNICIPIOS DEL ESTADO DE NAYARIT, DEL FONDO GENERAL DE PARTICIPACIONES Y DEL FONDO DE FOMENTO MUNICIPAL PARA EL EJERCICIO FISCAL 2014 PUBLICADO EL 14 DE FEBRERO DE 2014.</t>
    </r>
  </si>
  <si>
    <r>
      <rPr>
        <b/>
        <sz val="9"/>
        <color theme="1"/>
        <rFont val="Arial"/>
        <family val="2"/>
      </rPr>
      <t>PREDIAL Y AGUA.-</t>
    </r>
    <r>
      <rPr>
        <sz val="9"/>
        <color theme="1"/>
        <rFont val="Arial"/>
        <family val="2"/>
      </rPr>
      <t xml:space="preserve"> Cifras validadas de acuerdo con las reglas 17 al 20 de las reglas de validación de la información para el Cálculo de los Coeficientes de Distribución de las Participaciones Federales con base en el artículo 2 de la Ley de Coordinación Fiscal </t>
    </r>
  </si>
  <si>
    <r>
      <rPr>
        <b/>
        <sz val="9"/>
        <color theme="1"/>
        <rFont val="Arial"/>
        <family val="2"/>
      </rPr>
      <t>POBLACION.-</t>
    </r>
    <r>
      <rPr>
        <sz val="9"/>
        <color theme="1"/>
        <rFont val="Arial"/>
        <family val="2"/>
      </rPr>
      <t xml:space="preserve"> Censo de Población y Vivienda 2020. publicado el 25 de enero de 2021 en el Portal del INEGI </t>
    </r>
  </si>
  <si>
    <r>
      <t xml:space="preserve"> </t>
    </r>
    <r>
      <rPr>
        <i/>
        <sz val="11"/>
        <color theme="1"/>
        <rFont val="Calibri"/>
        <family val="2"/>
        <scheme val="minor"/>
      </rPr>
      <t xml:space="preserve">POBLACION.- Censo de Población y Vivienda 2020. publicado el 25 de enero de 2021 en el Portal del INEGI </t>
    </r>
    <r>
      <rPr>
        <sz val="11"/>
        <color theme="1"/>
        <rFont val="Calibri"/>
        <family val="2"/>
        <scheme val="minor"/>
      </rPr>
      <t xml:space="preserve"> </t>
    </r>
  </si>
  <si>
    <t xml:space="preserve">POBLACION.- Censo de Población y Vivienda 2020. publicado el 25 de enero de 2021 en el Portal del INEGI </t>
  </si>
  <si>
    <r>
      <t xml:space="preserve">POBLACION.- </t>
    </r>
    <r>
      <rPr>
        <i/>
        <sz val="9"/>
        <color theme="1"/>
        <rFont val="Arial"/>
        <family val="2"/>
      </rPr>
      <t>Censo de Población y Vivienda 2020. publicado el 25 de enero de 2021 en el Portal del INEGI</t>
    </r>
    <r>
      <rPr>
        <b/>
        <i/>
        <sz val="9"/>
        <color theme="1"/>
        <rFont val="Arial"/>
        <family val="2"/>
      </rPr>
      <t xml:space="preserve"> </t>
    </r>
  </si>
  <si>
    <t>Calendarización del Calculo de distribución  de la estimación  del Fondo General de Participaciones de 2020</t>
  </si>
  <si>
    <t>Calendarización del Calculo de distribución  de la estimación del Fondo de Fomento Municipal de 2020</t>
  </si>
  <si>
    <t>Calendarización del Calculo de distribución de la estimación del Fondo de Compensación a los Municipios de 2020</t>
  </si>
  <si>
    <t>Calendarización del Calculo de distribución  de la estimación del Impuesto Especial Sobre Producción y Servicios de 2020</t>
  </si>
  <si>
    <t>Calendarización del Calculo de distribución de la estimación de Nuevas Potestades (Gasolinas y Diesel) 2020</t>
  </si>
  <si>
    <t xml:space="preserve">Calendarización del Calculo de distribución de la estimación del Fondo de Fiscalización y Recaudación de 2020 </t>
  </si>
  <si>
    <t>Calendarizacion del Calculo de distribución de la estimación de los Incentivos por el Impuesto Sobre Automóviles Nuevos de 2020</t>
  </si>
  <si>
    <t>RAMO GENERAL 28: PARTICIPACIONES A ENTIDADES FEDERATIVAS Y MUNICIPIOS</t>
  </si>
  <si>
    <t xml:space="preserve"> FONDO GENERAL DE PARTICIPACIONES 2021</t>
  </si>
  <si>
    <t>ANUAL</t>
  </si>
  <si>
    <t>GARANTIZADA 2014</t>
  </si>
  <si>
    <t>EXCEDENTE</t>
  </si>
  <si>
    <t>DOF-18/12/2015</t>
  </si>
  <si>
    <t xml:space="preserve"> FONDO DE FOMENTO MUNICIPAL 2021</t>
  </si>
  <si>
    <t>PARTICIPACIONES ESPECIFICAS EN EL IMPUESTO  ESPECIAL SOBRE PRODUCCION Y SERVICIOS 2021</t>
  </si>
  <si>
    <t>POR VENTA  DE GASOLINA Y DIESEL 2021</t>
  </si>
  <si>
    <t xml:space="preserve"> FONDO DE FISCALIZACION Y RECAUDACION 2021</t>
  </si>
  <si>
    <t xml:space="preserve"> FONDO DE COMPENSACION 2021</t>
  </si>
  <si>
    <t>INCENTIVOS POR EL IMPUESTO SOBRE AUTOMOVILES NUEVOS 2021</t>
  </si>
  <si>
    <t>FONDO DE COMPENSACION DE ISAN 2021</t>
  </si>
  <si>
    <t>INCENTIVOS POR EL IMPUESTO SOBRE AUTOMOVILES NUEVOS  2021 (INCLUYE FONDO DE COMPENSACION DE ISAN)</t>
  </si>
  <si>
    <t>PARTICIPACION DEL 100% DE LA RECAUDACION ISR 2021</t>
  </si>
  <si>
    <t>FONDO DE COMPENSACION DE REPECOS E INTERMEDIOS 2021</t>
  </si>
  <si>
    <t>OTROS INCENTIVOS DE 2021 DERIVADOS DE LOS CONVENIOS DE COLABORACION ADMINISTRATIVA EN MATERIA FISCAL FEDERAL</t>
  </si>
  <si>
    <t>TENENCIA ESTATAL 2021</t>
  </si>
  <si>
    <t>INGRESOS MUNICIPAES COORDINADOS 2021</t>
  </si>
  <si>
    <t>IMPUESTO PREDIAL URBANO, IMPUESTO PREDIAL RUSTICO E IMPUESTO SOBRE ADQUISICION DE BIENES INMUEBLES. (SE PARTICIPA EL 100%)</t>
  </si>
  <si>
    <t>SUMA TOTAL</t>
  </si>
  <si>
    <t>FONDO DE APORTACIONES PARA LA INFRAESTRUCTUTA SOCIAL MUNICIPAL (FAIS) 2021</t>
  </si>
  <si>
    <t>Cantidades pendientes. Me las va a proporcionar LIBIA</t>
  </si>
  <si>
    <t>FONDO DE APORTACIONES PARA EL FORTALECIMIENTO DE LOS MUNICIPIOS (FORTAMUN) 2021</t>
  </si>
  <si>
    <t>TOTAL GENENRAL RECIBIDO</t>
  </si>
  <si>
    <t>TOTAL GENERAL DISTRIBUIDO</t>
  </si>
  <si>
    <t>Distribución a Municipios por Participacion Federal del Fondo de Fiscalización de 2021</t>
  </si>
  <si>
    <t>Distribución a Municipios por Participación Federal del Fondo General de Participaciones de 2021</t>
  </si>
  <si>
    <t>Distribución a Municipios por Participación Federal del Fondo de Fomento Municipal de 2021</t>
  </si>
  <si>
    <t>Distribución a Municipios por Participación Federal del Impuesto Especial Sobre Producción y Servicios de 2021</t>
  </si>
  <si>
    <t>FACTOR DE DISTRIB. 2021</t>
  </si>
  <si>
    <t>Calculo de distribución del Impuesto Especial Sobre Producción y Servicios IEPS Gasolina y Diesel de 2021</t>
  </si>
  <si>
    <t>Distribución a Municipios del Impuesto Especial Sobre Producción y Servicios IEPS Gasolina y Diesel de 2021</t>
  </si>
  <si>
    <t>Distribución a Municipios de los Incentivos por el Impuesto Sobre Automóviles Nuevos de 2021</t>
  </si>
  <si>
    <t>Distribución a Municipios por Participación Federal del Fondo de Compensación del  Impuesto Sobre Automóviles Nuevos de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</si>
</sst>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7" formatCode="&quot;$&quot;#,##0.00;\-&quot;$&quot;#,##0.00"/>
    <numFmt numFmtId="41" formatCode="_-* #,##0_-;\-* #,##0_-;_-* &quot;-&quot;_-;_-@_-"/>
    <numFmt numFmtId="44" formatCode="_-&quot;$&quot;* #,##0.00_-;\-&quot;$&quot;* #,##0.00_-;_-&quot;$&quot;* &quot;-&quot;??_-;_-@_-"/>
    <numFmt numFmtId="164" formatCode="#,##0.00_ ;\-#,##0.00\ "/>
    <numFmt numFmtId="165" formatCode="#,##0_ ;\-#,##0\ "/>
    <numFmt numFmtId="166" formatCode="0.000000"/>
    <numFmt numFmtId="167" formatCode="#,##0.000000"/>
    <numFmt numFmtId="168" formatCode="#,##0.000000_ ;\-#,##0.000000\ "/>
    <numFmt numFmtId="169" formatCode="#,##0.0000000"/>
    <numFmt numFmtId="170" formatCode="&quot;$&quot;#,##0.00"/>
    <numFmt numFmtId="171" formatCode="#,##0.000_ ;\-#,##0.000\ "/>
    <numFmt numFmtId="172" formatCode="0.0000000"/>
    <numFmt numFmtId="173" formatCode="_-&quot;$&quot;* #,##0.000_-;\-&quot;$&quot;* #,##0.000_-;_-&quot;$&quot;* &quot;-&quot;???_-;_-@_-"/>
  </numFmts>
  <fonts count="48" x14ac:knownFonts="1">
    <font>
      <sz val="11"/>
      <color theme="1"/>
      <name val="Calibri"/>
      <family val="2"/>
      <scheme val="minor"/>
    </font>
    <font>
      <sz val="12"/>
      <color theme="1"/>
      <name val="Arial"/>
      <family val="2"/>
    </font>
    <font>
      <sz val="12"/>
      <color theme="1"/>
      <name val="Arial"/>
      <family val="2"/>
    </font>
    <font>
      <sz val="11"/>
      <color theme="1"/>
      <name val="Calibri"/>
      <family val="2"/>
      <scheme val="minor"/>
    </font>
    <font>
      <b/>
      <sz val="11"/>
      <color theme="1"/>
      <name val="Calibri"/>
      <family val="2"/>
      <scheme val="minor"/>
    </font>
    <font>
      <b/>
      <sz val="12"/>
      <color theme="1"/>
      <name val="Arial"/>
      <family val="2"/>
    </font>
    <font>
      <sz val="12"/>
      <color theme="1"/>
      <name val="Arial"/>
      <family val="2"/>
    </font>
    <font>
      <sz val="11"/>
      <color theme="1"/>
      <name val="Arial"/>
      <family val="2"/>
    </font>
    <font>
      <b/>
      <sz val="11"/>
      <color theme="1"/>
      <name val="Arial"/>
      <family val="2"/>
    </font>
    <font>
      <sz val="10"/>
      <color theme="1"/>
      <name val="Calibri"/>
      <family val="2"/>
      <scheme val="minor"/>
    </font>
    <font>
      <b/>
      <sz val="9"/>
      <color theme="1"/>
      <name val="Arial"/>
      <family val="2"/>
    </font>
    <font>
      <b/>
      <sz val="10"/>
      <color theme="1"/>
      <name val="Arial"/>
      <family val="2"/>
    </font>
    <font>
      <sz val="10"/>
      <color theme="1"/>
      <name val="Arial"/>
      <family val="2"/>
    </font>
    <font>
      <sz val="11"/>
      <color rgb="FF000000"/>
      <name val="Arial"/>
      <family val="2"/>
    </font>
    <font>
      <b/>
      <sz val="8"/>
      <color theme="1"/>
      <name val="Arial"/>
      <family val="2"/>
    </font>
    <font>
      <sz val="9"/>
      <color theme="1"/>
      <name val="Calibri"/>
      <family val="2"/>
      <scheme val="minor"/>
    </font>
    <font>
      <b/>
      <sz val="9"/>
      <color theme="1"/>
      <name val="Calibri"/>
      <family val="2"/>
      <scheme val="minor"/>
    </font>
    <font>
      <sz val="8"/>
      <color theme="1"/>
      <name val="Arial"/>
      <family val="2"/>
    </font>
    <font>
      <i/>
      <sz val="9"/>
      <color theme="1"/>
      <name val="Arial"/>
      <family val="2"/>
    </font>
    <font>
      <i/>
      <sz val="11"/>
      <color theme="1"/>
      <name val="Calibri"/>
      <family val="2"/>
      <scheme val="minor"/>
    </font>
    <font>
      <sz val="8"/>
      <color theme="1"/>
      <name val="Calibri"/>
      <family val="2"/>
      <scheme val="minor"/>
    </font>
    <font>
      <b/>
      <sz val="14"/>
      <color theme="1"/>
      <name val="Arial"/>
      <family val="2"/>
    </font>
    <font>
      <b/>
      <sz val="14"/>
      <color theme="1"/>
      <name val="Calibri"/>
      <family val="2"/>
      <scheme val="minor"/>
    </font>
    <font>
      <sz val="10"/>
      <color rgb="FF000000"/>
      <name val="Arial"/>
      <family val="2"/>
    </font>
    <font>
      <sz val="11"/>
      <name val="Arial"/>
      <family val="2"/>
    </font>
    <font>
      <sz val="11"/>
      <color rgb="FFFF0000"/>
      <name val="Calibri"/>
      <family val="2"/>
      <scheme val="minor"/>
    </font>
    <font>
      <b/>
      <sz val="11"/>
      <name val="Arial"/>
      <family val="2"/>
    </font>
    <font>
      <sz val="11"/>
      <color rgb="FFFF0000"/>
      <name val="Arial"/>
      <family val="2"/>
    </font>
    <font>
      <sz val="11"/>
      <color theme="4"/>
      <name val="Arial"/>
      <family val="2"/>
    </font>
    <font>
      <sz val="10"/>
      <name val="Arial"/>
      <family val="2"/>
    </font>
    <font>
      <b/>
      <sz val="12"/>
      <name val="Arial"/>
      <family val="2"/>
    </font>
    <font>
      <b/>
      <sz val="10"/>
      <name val="Arial"/>
      <family val="2"/>
    </font>
    <font>
      <b/>
      <sz val="9"/>
      <name val="Arial"/>
      <family val="2"/>
    </font>
    <font>
      <sz val="8"/>
      <name val="Arial"/>
      <family val="2"/>
    </font>
    <font>
      <b/>
      <sz val="8"/>
      <name val="Arial"/>
      <family val="2"/>
    </font>
    <font>
      <i/>
      <sz val="11"/>
      <color theme="1"/>
      <name val="Arial"/>
      <family val="2"/>
    </font>
    <font>
      <b/>
      <i/>
      <sz val="9"/>
      <color theme="1"/>
      <name val="Arial"/>
      <family val="2"/>
    </font>
    <font>
      <b/>
      <i/>
      <sz val="10"/>
      <color theme="1"/>
      <name val="Arial"/>
      <family val="2"/>
    </font>
    <font>
      <i/>
      <sz val="9"/>
      <color theme="1"/>
      <name val="Calibri"/>
      <family val="2"/>
      <scheme val="minor"/>
    </font>
    <font>
      <b/>
      <i/>
      <sz val="9"/>
      <color theme="1"/>
      <name val="Calibri"/>
      <family val="2"/>
      <scheme val="minor"/>
    </font>
    <font>
      <sz val="9"/>
      <color theme="1"/>
      <name val="Arial"/>
      <family val="2"/>
    </font>
    <font>
      <i/>
      <sz val="8"/>
      <name val="Arial"/>
      <family val="2"/>
    </font>
    <font>
      <i/>
      <sz val="10"/>
      <name val="Arial"/>
      <family val="2"/>
    </font>
    <font>
      <i/>
      <sz val="9"/>
      <name val="Arial"/>
      <family val="2"/>
    </font>
    <font>
      <sz val="9"/>
      <name val="Arial"/>
      <family val="2"/>
    </font>
    <font>
      <sz val="9"/>
      <color theme="3"/>
      <name val="Arial"/>
      <family val="2"/>
    </font>
    <font>
      <b/>
      <sz val="20"/>
      <color theme="0"/>
      <name val="Arial"/>
      <family val="2"/>
    </font>
    <font>
      <sz val="6"/>
      <name val="Arial"/>
      <family val="2"/>
    </font>
  </fonts>
  <fills count="14">
    <fill>
      <patternFill patternType="none"/>
    </fill>
    <fill>
      <patternFill patternType="gray125"/>
    </fill>
    <fill>
      <patternFill patternType="solid">
        <fgColor theme="3" tint="0.79998168889431442"/>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rgb="FF00B050"/>
        <bgColor indexed="64"/>
      </patternFill>
    </fill>
    <fill>
      <patternFill patternType="solid">
        <fgColor theme="6" tint="-0.249977111117893"/>
        <bgColor indexed="64"/>
      </patternFill>
    </fill>
    <fill>
      <patternFill patternType="solid">
        <fgColor rgb="FF7030A0"/>
        <bgColor indexed="64"/>
      </patternFill>
    </fill>
    <fill>
      <patternFill patternType="solid">
        <fgColor rgb="FF92D050"/>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8">
    <xf numFmtId="0" fontId="0" fillId="0" borderId="0"/>
    <xf numFmtId="44" fontId="3" fillId="0" borderId="0" applyFont="0" applyFill="0" applyBorder="0" applyAlignment="0" applyProtection="0"/>
    <xf numFmtId="0" fontId="29" fillId="0" borderId="0"/>
    <xf numFmtId="0" fontId="29" fillId="0" borderId="0"/>
    <xf numFmtId="0" fontId="29" fillId="0" borderId="0"/>
    <xf numFmtId="0" fontId="1" fillId="0" borderId="0"/>
    <xf numFmtId="44" fontId="29" fillId="0" borderId="0" applyFont="0" applyFill="0" applyBorder="0" applyAlignment="0" applyProtection="0"/>
    <xf numFmtId="9" fontId="29" fillId="0" borderId="0" applyFont="0" applyFill="0" applyBorder="0" applyAlignment="0" applyProtection="0"/>
  </cellStyleXfs>
  <cellXfs count="1097">
    <xf numFmtId="0" fontId="0" fillId="0" borderId="0" xfId="0"/>
    <xf numFmtId="0" fontId="5" fillId="0" borderId="0" xfId="0" applyFont="1" applyBorder="1" applyAlignment="1"/>
    <xf numFmtId="0" fontId="6" fillId="0" borderId="0" xfId="0" applyFont="1" applyBorder="1" applyAlignment="1">
      <alignment vertical="center"/>
    </xf>
    <xf numFmtId="0" fontId="6" fillId="0" borderId="0" xfId="0" applyFont="1" applyBorder="1" applyAlignment="1">
      <alignment vertical="distributed"/>
    </xf>
    <xf numFmtId="0" fontId="6" fillId="0" borderId="0" xfId="0" applyFont="1" applyBorder="1"/>
    <xf numFmtId="0" fontId="0" fillId="0" borderId="0" xfId="0" applyFill="1"/>
    <xf numFmtId="49" fontId="6" fillId="0" borderId="0" xfId="0" applyNumberFormat="1" applyFont="1" applyBorder="1" applyAlignment="1">
      <alignment horizontal="right"/>
    </xf>
    <xf numFmtId="49" fontId="6" fillId="0" borderId="9" xfId="0" applyNumberFormat="1" applyFont="1" applyFill="1" applyBorder="1" applyAlignment="1">
      <alignment horizontal="right"/>
    </xf>
    <xf numFmtId="49" fontId="6" fillId="0" borderId="0" xfId="0" applyNumberFormat="1" applyFont="1" applyBorder="1"/>
    <xf numFmtId="0" fontId="7" fillId="0" borderId="0" xfId="0" applyFont="1"/>
    <xf numFmtId="0" fontId="0" fillId="0" borderId="0" xfId="0" applyAlignment="1">
      <alignment horizontal="center"/>
    </xf>
    <xf numFmtId="0" fontId="8" fillId="0" borderId="0" xfId="0" applyFont="1" applyAlignment="1">
      <alignment horizontal="center"/>
    </xf>
    <xf numFmtId="0" fontId="9" fillId="0" borderId="0" xfId="0" applyFont="1"/>
    <xf numFmtId="0" fontId="8" fillId="0" borderId="0" xfId="0" applyFont="1" applyAlignment="1">
      <alignment horizontal="center"/>
    </xf>
    <xf numFmtId="0" fontId="8" fillId="0" borderId="14" xfId="0" applyFont="1" applyBorder="1" applyAlignment="1">
      <alignment horizontal="center"/>
    </xf>
    <xf numFmtId="0" fontId="0" fillId="0" borderId="14" xfId="0" applyBorder="1" applyAlignment="1">
      <alignment horizontal="center"/>
    </xf>
    <xf numFmtId="0" fontId="0" fillId="0" borderId="14" xfId="0" applyBorder="1"/>
    <xf numFmtId="0" fontId="0" fillId="0" borderId="4" xfId="0" applyBorder="1"/>
    <xf numFmtId="2" fontId="8" fillId="0" borderId="4" xfId="0" applyNumberFormat="1" applyFont="1" applyBorder="1" applyAlignment="1">
      <alignment horizontal="center"/>
    </xf>
    <xf numFmtId="0" fontId="8" fillId="0" borderId="4" xfId="0" applyFont="1" applyBorder="1" applyAlignment="1">
      <alignment horizontal="center"/>
    </xf>
    <xf numFmtId="0" fontId="8" fillId="2" borderId="4" xfId="0" applyFont="1" applyFill="1" applyBorder="1" applyAlignment="1">
      <alignment horizontal="center"/>
    </xf>
    <xf numFmtId="4" fontId="8" fillId="0" borderId="4" xfId="0" applyNumberFormat="1" applyFont="1" applyBorder="1" applyAlignment="1">
      <alignment horizontal="center" vertical="center" wrapText="1"/>
    </xf>
    <xf numFmtId="0" fontId="8" fillId="0" borderId="1" xfId="0" applyFont="1" applyBorder="1" applyAlignment="1">
      <alignment horizontal="center"/>
    </xf>
    <xf numFmtId="0" fontId="8" fillId="0" borderId="8" xfId="0" applyFont="1" applyBorder="1" applyAlignment="1">
      <alignment horizontal="center"/>
    </xf>
    <xf numFmtId="0" fontId="0" fillId="0" borderId="4" xfId="0" applyBorder="1" applyAlignment="1">
      <alignment horizontal="center" vertical="center" wrapText="1"/>
    </xf>
    <xf numFmtId="49" fontId="8" fillId="0" borderId="32" xfId="0" applyNumberFormat="1" applyFont="1" applyBorder="1" applyAlignment="1">
      <alignment horizontal="center"/>
    </xf>
    <xf numFmtId="0" fontId="8" fillId="0" borderId="32" xfId="0" applyFont="1" applyBorder="1" applyAlignment="1">
      <alignment horizontal="center"/>
    </xf>
    <xf numFmtId="9" fontId="8" fillId="0" borderId="32" xfId="0" applyNumberFormat="1" applyFont="1" applyBorder="1" applyAlignment="1">
      <alignment horizontal="center"/>
    </xf>
    <xf numFmtId="9" fontId="8" fillId="2" borderId="32" xfId="0" applyNumberFormat="1" applyFont="1" applyFill="1" applyBorder="1" applyAlignment="1">
      <alignment horizontal="center"/>
    </xf>
    <xf numFmtId="0" fontId="0" fillId="0" borderId="32" xfId="0" applyBorder="1" applyAlignment="1">
      <alignment horizontal="center" vertical="center" wrapText="1"/>
    </xf>
    <xf numFmtId="0" fontId="8" fillId="0" borderId="33" xfId="0" applyFont="1" applyBorder="1" applyAlignment="1">
      <alignment horizontal="center"/>
    </xf>
    <xf numFmtId="0" fontId="7" fillId="0" borderId="41" xfId="0" applyFont="1" applyBorder="1"/>
    <xf numFmtId="164" fontId="7" fillId="0" borderId="12" xfId="1" applyNumberFormat="1" applyFont="1" applyBorder="1" applyAlignment="1">
      <alignment horizontal="center"/>
    </xf>
    <xf numFmtId="165" fontId="7" fillId="2" borderId="10" xfId="1" applyNumberFormat="1" applyFont="1" applyFill="1" applyBorder="1"/>
    <xf numFmtId="166" fontId="7" fillId="0" borderId="10" xfId="0" applyNumberFormat="1" applyFont="1" applyBorder="1"/>
    <xf numFmtId="3" fontId="7" fillId="0" borderId="10" xfId="0" applyNumberFormat="1" applyFont="1" applyBorder="1"/>
    <xf numFmtId="167" fontId="7" fillId="0" borderId="10" xfId="0" applyNumberFormat="1" applyFont="1" applyBorder="1"/>
    <xf numFmtId="165" fontId="7" fillId="2" borderId="10" xfId="0" applyNumberFormat="1" applyFont="1" applyFill="1" applyBorder="1" applyAlignment="1">
      <alignment horizontal="right"/>
    </xf>
    <xf numFmtId="165" fontId="7" fillId="0" borderId="10" xfId="0" applyNumberFormat="1" applyFont="1" applyBorder="1"/>
    <xf numFmtId="3" fontId="7" fillId="0" borderId="42" xfId="0" applyNumberFormat="1" applyFont="1" applyBorder="1"/>
    <xf numFmtId="3" fontId="9" fillId="0" borderId="44" xfId="0" applyNumberFormat="1" applyFont="1" applyBorder="1" applyAlignment="1"/>
    <xf numFmtId="167" fontId="9" fillId="0" borderId="43" xfId="0" applyNumberFormat="1" applyFont="1" applyBorder="1" applyAlignment="1"/>
    <xf numFmtId="0" fontId="0" fillId="0" borderId="0" xfId="0" applyAlignment="1"/>
    <xf numFmtId="0" fontId="7" fillId="0" borderId="45" xfId="0" applyFont="1" applyBorder="1"/>
    <xf numFmtId="164" fontId="7" fillId="0" borderId="3" xfId="1" applyNumberFormat="1" applyFont="1" applyBorder="1" applyAlignment="1">
      <alignment horizontal="center"/>
    </xf>
    <xf numFmtId="165" fontId="7" fillId="2" borderId="4" xfId="1" applyNumberFormat="1" applyFont="1" applyFill="1" applyBorder="1"/>
    <xf numFmtId="166" fontId="7" fillId="0" borderId="4" xfId="0" applyNumberFormat="1" applyFont="1" applyBorder="1"/>
    <xf numFmtId="3" fontId="13" fillId="0" borderId="4" xfId="0" applyNumberFormat="1" applyFont="1" applyBorder="1" applyAlignment="1">
      <alignment horizontal="right" vertical="center" wrapText="1"/>
    </xf>
    <xf numFmtId="167" fontId="7" fillId="0" borderId="4" xfId="0" applyNumberFormat="1" applyFont="1" applyBorder="1"/>
    <xf numFmtId="165" fontId="7" fillId="2" borderId="4" xfId="0" applyNumberFormat="1" applyFont="1" applyFill="1" applyBorder="1" applyAlignment="1">
      <alignment horizontal="right"/>
    </xf>
    <xf numFmtId="3" fontId="7" fillId="0" borderId="4" xfId="0" applyNumberFormat="1" applyFont="1" applyBorder="1"/>
    <xf numFmtId="165" fontId="7" fillId="0" borderId="4" xfId="0" applyNumberFormat="1" applyFont="1" applyBorder="1"/>
    <xf numFmtId="3" fontId="7" fillId="0" borderId="1" xfId="0" applyNumberFormat="1" applyFont="1" applyBorder="1"/>
    <xf numFmtId="0" fontId="7" fillId="0" borderId="48" xfId="0" applyFont="1" applyBorder="1"/>
    <xf numFmtId="164" fontId="7" fillId="0" borderId="7" xfId="1" applyNumberFormat="1" applyFont="1" applyBorder="1" applyAlignment="1">
      <alignment horizontal="center"/>
    </xf>
    <xf numFmtId="165" fontId="7" fillId="2" borderId="5" xfId="1" applyNumberFormat="1" applyFont="1" applyFill="1" applyBorder="1"/>
    <xf numFmtId="166" fontId="7" fillId="0" borderId="5" xfId="0" applyNumberFormat="1" applyFont="1" applyBorder="1"/>
    <xf numFmtId="3" fontId="7" fillId="0" borderId="5" xfId="0" applyNumberFormat="1" applyFont="1" applyBorder="1"/>
    <xf numFmtId="167" fontId="7" fillId="0" borderId="5" xfId="0" applyNumberFormat="1" applyFont="1" applyBorder="1"/>
    <xf numFmtId="165" fontId="7" fillId="2" borderId="5" xfId="0" applyNumberFormat="1" applyFont="1" applyFill="1" applyBorder="1" applyAlignment="1">
      <alignment horizontal="right"/>
    </xf>
    <xf numFmtId="165" fontId="7" fillId="0" borderId="5" xfId="0" applyNumberFormat="1" applyFont="1" applyBorder="1"/>
    <xf numFmtId="3" fontId="7" fillId="0" borderId="26" xfId="0" applyNumberFormat="1" applyFont="1" applyBorder="1"/>
    <xf numFmtId="0" fontId="8" fillId="0" borderId="49" xfId="0" applyFont="1" applyBorder="1"/>
    <xf numFmtId="164" fontId="8" fillId="0" borderId="50" xfId="1" applyNumberFormat="1" applyFont="1" applyBorder="1" applyAlignment="1">
      <alignment horizontal="center"/>
    </xf>
    <xf numFmtId="165" fontId="8" fillId="2" borderId="51" xfId="1" applyNumberFormat="1" applyFont="1" applyFill="1" applyBorder="1"/>
    <xf numFmtId="2" fontId="8" fillId="0" borderId="51" xfId="0" applyNumberFormat="1" applyFont="1" applyBorder="1"/>
    <xf numFmtId="3" fontId="8" fillId="0" borderId="51" xfId="0" applyNumberFormat="1" applyFont="1" applyBorder="1"/>
    <xf numFmtId="4" fontId="8" fillId="0" borderId="51" xfId="0" applyNumberFormat="1" applyFont="1" applyBorder="1"/>
    <xf numFmtId="165" fontId="8" fillId="2" borderId="51" xfId="0" applyNumberFormat="1" applyFont="1" applyFill="1" applyBorder="1" applyAlignment="1">
      <alignment horizontal="right"/>
    </xf>
    <xf numFmtId="166" fontId="7" fillId="0" borderId="51" xfId="0" applyNumberFormat="1" applyFont="1" applyBorder="1"/>
    <xf numFmtId="4" fontId="7" fillId="0" borderId="51" xfId="0" applyNumberFormat="1" applyFont="1" applyBorder="1"/>
    <xf numFmtId="3" fontId="7" fillId="0" borderId="51" xfId="0" applyNumberFormat="1" applyFont="1" applyBorder="1"/>
    <xf numFmtId="165" fontId="7" fillId="0" borderId="51" xfId="0" applyNumberFormat="1" applyFont="1" applyBorder="1"/>
    <xf numFmtId="3" fontId="7" fillId="0" borderId="52" xfId="0" applyNumberFormat="1" applyFont="1" applyBorder="1"/>
    <xf numFmtId="3" fontId="9" fillId="0" borderId="54" xfId="0" applyNumberFormat="1" applyFont="1" applyBorder="1"/>
    <xf numFmtId="167" fontId="9" fillId="0" borderId="53" xfId="0" applyNumberFormat="1" applyFont="1" applyBorder="1"/>
    <xf numFmtId="0" fontId="7" fillId="0" borderId="0" xfId="0" applyFont="1" applyAlignment="1"/>
    <xf numFmtId="0" fontId="7" fillId="0" borderId="0" xfId="0" applyFont="1" applyAlignment="1">
      <alignment horizontal="center"/>
    </xf>
    <xf numFmtId="165" fontId="0" fillId="0" borderId="0" xfId="0" applyNumberFormat="1"/>
    <xf numFmtId="166" fontId="0" fillId="0" borderId="0" xfId="0" applyNumberFormat="1"/>
    <xf numFmtId="0" fontId="6" fillId="0" borderId="60" xfId="0" applyFont="1" applyFill="1" applyBorder="1"/>
    <xf numFmtId="164" fontId="6" fillId="0" borderId="43" xfId="1" applyNumberFormat="1" applyFont="1" applyFill="1" applyBorder="1" applyAlignment="1">
      <alignment horizontal="center"/>
    </xf>
    <xf numFmtId="165" fontId="6" fillId="0" borderId="44" xfId="1" applyNumberFormat="1" applyFont="1" applyFill="1" applyBorder="1"/>
    <xf numFmtId="3" fontId="6" fillId="0" borderId="43" xfId="0" applyNumberFormat="1" applyFont="1" applyFill="1" applyBorder="1"/>
    <xf numFmtId="166" fontId="6" fillId="0" borderId="10" xfId="0" applyNumberFormat="1" applyFont="1" applyFill="1" applyBorder="1"/>
    <xf numFmtId="167" fontId="6" fillId="0" borderId="10" xfId="0" applyNumberFormat="1" applyFont="1" applyFill="1" applyBorder="1"/>
    <xf numFmtId="165" fontId="6" fillId="0" borderId="44" xfId="0" applyNumberFormat="1" applyFont="1" applyFill="1" applyBorder="1" applyAlignment="1">
      <alignment horizontal="right"/>
    </xf>
    <xf numFmtId="165" fontId="6" fillId="0" borderId="43" xfId="0" applyNumberFormat="1" applyFont="1" applyFill="1" applyBorder="1" applyAlignment="1">
      <alignment horizontal="right"/>
    </xf>
    <xf numFmtId="165" fontId="6" fillId="0" borderId="10" xfId="0" applyNumberFormat="1" applyFont="1" applyFill="1" applyBorder="1" applyAlignment="1">
      <alignment horizontal="right"/>
    </xf>
    <xf numFmtId="3" fontId="6" fillId="0" borderId="44" xfId="0" applyNumberFormat="1" applyFont="1" applyFill="1" applyBorder="1"/>
    <xf numFmtId="165" fontId="6" fillId="0" borderId="12" xfId="0" applyNumberFormat="1" applyFont="1" applyFill="1" applyBorder="1"/>
    <xf numFmtId="3" fontId="6" fillId="0" borderId="42" xfId="0" applyNumberFormat="1" applyFont="1" applyFill="1" applyBorder="1"/>
    <xf numFmtId="165" fontId="6" fillId="0" borderId="61" xfId="0" applyNumberFormat="1" applyFont="1" applyFill="1" applyBorder="1"/>
    <xf numFmtId="167" fontId="0" fillId="0" borderId="3" xfId="0" applyNumberFormat="1" applyFill="1" applyBorder="1"/>
    <xf numFmtId="167" fontId="0" fillId="0" borderId="0" xfId="0" applyNumberFormat="1" applyFill="1"/>
    <xf numFmtId="166" fontId="0" fillId="0" borderId="0" xfId="0" applyNumberFormat="1" applyFill="1"/>
    <xf numFmtId="3" fontId="0" fillId="0" borderId="0" xfId="0" applyNumberFormat="1" applyFill="1"/>
    <xf numFmtId="164" fontId="6" fillId="0" borderId="46" xfId="1" applyNumberFormat="1" applyFont="1" applyFill="1" applyBorder="1" applyAlignment="1">
      <alignment horizontal="center"/>
    </xf>
    <xf numFmtId="166" fontId="6" fillId="0" borderId="4" xfId="0" applyNumberFormat="1" applyFont="1" applyFill="1" applyBorder="1"/>
    <xf numFmtId="165" fontId="6" fillId="0" borderId="3" xfId="0" applyNumberFormat="1" applyFont="1" applyFill="1" applyBorder="1"/>
    <xf numFmtId="0" fontId="6" fillId="0" borderId="62" xfId="0" applyFont="1" applyFill="1" applyBorder="1"/>
    <xf numFmtId="0" fontId="5" fillId="0" borderId="59" xfId="0" applyFont="1" applyFill="1" applyBorder="1"/>
    <xf numFmtId="0" fontId="7" fillId="0" borderId="0" xfId="0" applyFont="1" applyFill="1"/>
    <xf numFmtId="0" fontId="7" fillId="0" borderId="0" xfId="0" applyFont="1" applyFill="1" applyAlignment="1">
      <alignment horizontal="center"/>
    </xf>
    <xf numFmtId="0" fontId="7" fillId="0" borderId="0" xfId="0" applyFont="1" applyBorder="1" applyAlignment="1">
      <alignment horizontal="center" vertical="center"/>
    </xf>
    <xf numFmtId="0" fontId="4" fillId="0" borderId="0" xfId="0" applyFont="1"/>
    <xf numFmtId="0" fontId="8" fillId="0" borderId="5" xfId="0" applyFont="1" applyBorder="1" applyAlignment="1">
      <alignment horizontal="center"/>
    </xf>
    <xf numFmtId="0" fontId="8" fillId="0" borderId="17" xfId="0" applyFont="1" applyBorder="1" applyAlignment="1">
      <alignment wrapText="1"/>
    </xf>
    <xf numFmtId="0" fontId="8" fillId="0" borderId="0" xfId="0" applyFont="1" applyBorder="1" applyAlignment="1"/>
    <xf numFmtId="9" fontId="8" fillId="0" borderId="0" xfId="0" applyNumberFormat="1" applyFont="1" applyBorder="1" applyAlignment="1">
      <alignment horizontal="center"/>
    </xf>
    <xf numFmtId="49" fontId="8" fillId="0" borderId="59" xfId="0" applyNumberFormat="1" applyFont="1" applyBorder="1" applyAlignment="1">
      <alignment horizontal="center"/>
    </xf>
    <xf numFmtId="49" fontId="8" fillId="0" borderId="11" xfId="0" applyNumberFormat="1" applyFont="1" applyBorder="1" applyAlignment="1">
      <alignment horizontal="center"/>
    </xf>
    <xf numFmtId="49" fontId="8" fillId="0" borderId="22" xfId="0" applyNumberFormat="1" applyFont="1" applyBorder="1" applyAlignment="1">
      <alignment horizontal="center"/>
    </xf>
    <xf numFmtId="49" fontId="8" fillId="0" borderId="65" xfId="0" applyNumberFormat="1" applyFont="1" applyBorder="1" applyAlignment="1">
      <alignment horizontal="center"/>
    </xf>
    <xf numFmtId="49" fontId="7" fillId="0" borderId="39" xfId="0" applyNumberFormat="1" applyFont="1" applyBorder="1" applyAlignment="1">
      <alignment horizontal="center"/>
    </xf>
    <xf numFmtId="49" fontId="8" fillId="0" borderId="67" xfId="0" applyNumberFormat="1" applyFont="1" applyFill="1" applyBorder="1" applyAlignment="1">
      <alignment horizontal="center"/>
    </xf>
    <xf numFmtId="49" fontId="8" fillId="0" borderId="68" xfId="0" applyNumberFormat="1" applyFont="1" applyBorder="1" applyAlignment="1">
      <alignment horizontal="center"/>
    </xf>
    <xf numFmtId="0" fontId="8" fillId="0" borderId="64" xfId="0" applyFont="1" applyBorder="1" applyAlignment="1">
      <alignment horizontal="center" vertical="center"/>
    </xf>
    <xf numFmtId="0" fontId="7" fillId="0" borderId="57" xfId="0" applyFont="1" applyFill="1" applyBorder="1"/>
    <xf numFmtId="164" fontId="7" fillId="0" borderId="0" xfId="1" applyNumberFormat="1" applyFont="1" applyBorder="1" applyAlignment="1">
      <alignment horizontal="center"/>
    </xf>
    <xf numFmtId="3" fontId="7" fillId="0" borderId="57" xfId="0" applyNumberFormat="1" applyFont="1" applyBorder="1"/>
    <xf numFmtId="3" fontId="7" fillId="0" borderId="69" xfId="0" applyNumberFormat="1" applyFont="1" applyFill="1" applyBorder="1"/>
    <xf numFmtId="3" fontId="7" fillId="0" borderId="0" xfId="0" applyNumberFormat="1" applyFont="1" applyBorder="1"/>
    <xf numFmtId="167" fontId="0" fillId="0" borderId="0" xfId="0" applyNumberFormat="1"/>
    <xf numFmtId="4" fontId="0" fillId="0" borderId="0" xfId="0" applyNumberFormat="1"/>
    <xf numFmtId="167" fontId="4" fillId="0" borderId="0" xfId="0" applyNumberFormat="1" applyFont="1"/>
    <xf numFmtId="0" fontId="8" fillId="0" borderId="57" xfId="0" applyFont="1" applyFill="1" applyBorder="1"/>
    <xf numFmtId="164" fontId="8" fillId="0" borderId="0" xfId="1" applyNumberFormat="1" applyFont="1" applyFill="1" applyBorder="1" applyAlignment="1">
      <alignment horizontal="center"/>
    </xf>
    <xf numFmtId="3" fontId="8" fillId="0" borderId="0" xfId="0" applyNumberFormat="1" applyFont="1" applyFill="1" applyBorder="1"/>
    <xf numFmtId="3" fontId="8" fillId="0" borderId="57" xfId="0" applyNumberFormat="1" applyFont="1" applyBorder="1"/>
    <xf numFmtId="4" fontId="0" fillId="0" borderId="0" xfId="0" applyNumberFormat="1" applyFill="1"/>
    <xf numFmtId="0" fontId="4" fillId="0" borderId="0" xfId="0" applyFont="1" applyFill="1"/>
    <xf numFmtId="167" fontId="4" fillId="0" borderId="0" xfId="0" applyNumberFormat="1" applyFont="1" applyFill="1"/>
    <xf numFmtId="164" fontId="7" fillId="0" borderId="0" xfId="1" applyNumberFormat="1" applyFont="1" applyFill="1" applyBorder="1" applyAlignment="1">
      <alignment horizontal="center"/>
    </xf>
    <xf numFmtId="3" fontId="7" fillId="0" borderId="0" xfId="0" applyNumberFormat="1" applyFont="1" applyFill="1" applyBorder="1"/>
    <xf numFmtId="0" fontId="7" fillId="0" borderId="59" xfId="0" applyFont="1" applyFill="1" applyBorder="1"/>
    <xf numFmtId="3" fontId="8" fillId="0" borderId="51" xfId="0" applyNumberFormat="1" applyFont="1" applyFill="1" applyBorder="1"/>
    <xf numFmtId="4" fontId="7" fillId="0" borderId="0" xfId="0" applyNumberFormat="1" applyFont="1"/>
    <xf numFmtId="0" fontId="8" fillId="0" borderId="5" xfId="0" applyFont="1" applyBorder="1" applyAlignment="1">
      <alignment horizontal="center" vertical="center"/>
    </xf>
    <xf numFmtId="0" fontId="8" fillId="0" borderId="8" xfId="0" applyFont="1" applyBorder="1" applyAlignment="1">
      <alignment horizontal="center" vertical="center"/>
    </xf>
    <xf numFmtId="49" fontId="8" fillId="0" borderId="8" xfId="0" applyNumberFormat="1" applyFont="1" applyBorder="1" applyAlignment="1">
      <alignment horizontal="center"/>
    </xf>
    <xf numFmtId="49" fontId="8" fillId="0" borderId="10" xfId="0" applyNumberFormat="1" applyFont="1" applyBorder="1" applyAlignment="1">
      <alignment horizontal="center"/>
    </xf>
    <xf numFmtId="0" fontId="7" fillId="0" borderId="26" xfId="0" applyFont="1" applyBorder="1"/>
    <xf numFmtId="164" fontId="7" fillId="0" borderId="6" xfId="1" applyNumberFormat="1" applyFont="1" applyBorder="1" applyAlignment="1">
      <alignment horizontal="center"/>
    </xf>
    <xf numFmtId="4" fontId="7" fillId="0" borderId="6" xfId="0" applyNumberFormat="1" applyFont="1" applyBorder="1"/>
    <xf numFmtId="0" fontId="7" fillId="0" borderId="69" xfId="0" applyFont="1" applyBorder="1"/>
    <xf numFmtId="4" fontId="7" fillId="0" borderId="0" xfId="0" applyNumberFormat="1" applyFont="1" applyBorder="1"/>
    <xf numFmtId="0" fontId="8" fillId="0" borderId="4" xfId="0" applyFont="1" applyBorder="1"/>
    <xf numFmtId="164" fontId="8" fillId="0" borderId="4" xfId="1" applyNumberFormat="1" applyFont="1" applyBorder="1" applyAlignment="1">
      <alignment horizontal="center"/>
    </xf>
    <xf numFmtId="0" fontId="8" fillId="0" borderId="0" xfId="0" applyFont="1" applyFill="1" applyBorder="1" applyAlignment="1">
      <alignment horizontal="center"/>
    </xf>
    <xf numFmtId="0" fontId="7" fillId="0" borderId="13" xfId="0" applyFont="1" applyBorder="1"/>
    <xf numFmtId="2" fontId="0" fillId="0" borderId="0" xfId="0" applyNumberFormat="1"/>
    <xf numFmtId="0" fontId="7" fillId="0" borderId="23" xfId="0" applyFont="1" applyBorder="1"/>
    <xf numFmtId="0" fontId="7" fillId="0" borderId="31" xfId="0" applyFont="1" applyBorder="1"/>
    <xf numFmtId="0" fontId="8" fillId="0" borderId="20" xfId="0" applyFont="1" applyBorder="1"/>
    <xf numFmtId="0" fontId="7" fillId="0" borderId="0" xfId="0" applyFont="1" applyBorder="1"/>
    <xf numFmtId="0" fontId="7" fillId="0" borderId="0" xfId="0" applyFont="1" applyBorder="1" applyAlignment="1">
      <alignment horizontal="center"/>
    </xf>
    <xf numFmtId="0" fontId="0" fillId="0" borderId="0" xfId="0" applyBorder="1"/>
    <xf numFmtId="49" fontId="14" fillId="3" borderId="57" xfId="0" applyNumberFormat="1" applyFont="1" applyFill="1" applyBorder="1" applyAlignment="1">
      <alignment horizontal="center"/>
    </xf>
    <xf numFmtId="0" fontId="0" fillId="3" borderId="0" xfId="0" applyFill="1"/>
    <xf numFmtId="167" fontId="0" fillId="3" borderId="0" xfId="0" applyNumberFormat="1" applyFill="1"/>
    <xf numFmtId="3" fontId="8" fillId="0" borderId="49" xfId="0" applyNumberFormat="1" applyFont="1" applyFill="1" applyBorder="1" applyAlignment="1"/>
    <xf numFmtId="49" fontId="8" fillId="0" borderId="0" xfId="0" applyNumberFormat="1" applyFont="1" applyBorder="1" applyAlignment="1">
      <alignment horizontal="center"/>
    </xf>
    <xf numFmtId="166" fontId="7" fillId="0" borderId="0" xfId="0" applyNumberFormat="1" applyFont="1" applyBorder="1"/>
    <xf numFmtId="167" fontId="7" fillId="0" borderId="0" xfId="0" applyNumberFormat="1" applyFont="1" applyBorder="1"/>
    <xf numFmtId="0" fontId="7" fillId="0" borderId="0" xfId="0" applyFont="1" applyFill="1" applyBorder="1" applyAlignment="1">
      <alignment horizontal="center"/>
    </xf>
    <xf numFmtId="44" fontId="8" fillId="0" borderId="0" xfId="0" applyNumberFormat="1" applyFont="1" applyFill="1" applyBorder="1" applyAlignment="1">
      <alignment horizontal="center"/>
    </xf>
    <xf numFmtId="2" fontId="0" fillId="0" borderId="0" xfId="0" applyNumberFormat="1" applyBorder="1"/>
    <xf numFmtId="3" fontId="8" fillId="0" borderId="0" xfId="0" applyNumberFormat="1" applyFont="1" applyBorder="1"/>
    <xf numFmtId="167" fontId="8" fillId="0" borderId="0" xfId="0" applyNumberFormat="1" applyFont="1" applyBorder="1"/>
    <xf numFmtId="4" fontId="7" fillId="0" borderId="0" xfId="0" applyNumberFormat="1" applyFont="1" applyAlignment="1"/>
    <xf numFmtId="44" fontId="7" fillId="0" borderId="0" xfId="0" applyNumberFormat="1" applyFont="1"/>
    <xf numFmtId="3" fontId="7" fillId="0" borderId="8" xfId="0" applyNumberFormat="1" applyFont="1" applyFill="1" applyBorder="1"/>
    <xf numFmtId="0" fontId="5" fillId="0" borderId="37" xfId="0" applyFont="1" applyFill="1" applyBorder="1" applyAlignment="1">
      <alignment horizontal="center"/>
    </xf>
    <xf numFmtId="0" fontId="5" fillId="0" borderId="36" xfId="0" applyFont="1" applyFill="1" applyBorder="1" applyAlignment="1">
      <alignment horizontal="center"/>
    </xf>
    <xf numFmtId="167" fontId="12" fillId="0" borderId="43" xfId="0" applyNumberFormat="1" applyFont="1" applyFill="1" applyBorder="1"/>
    <xf numFmtId="165" fontId="12" fillId="0" borderId="44" xfId="0" applyNumberFormat="1" applyFont="1" applyFill="1" applyBorder="1"/>
    <xf numFmtId="168" fontId="12" fillId="0" borderId="43" xfId="0" applyNumberFormat="1" applyFont="1" applyFill="1" applyBorder="1"/>
    <xf numFmtId="168" fontId="12" fillId="0" borderId="10" xfId="0" applyNumberFormat="1" applyFont="1" applyFill="1" applyBorder="1"/>
    <xf numFmtId="3" fontId="9" fillId="0" borderId="44" xfId="0" applyNumberFormat="1" applyFont="1" applyFill="1" applyBorder="1" applyAlignment="1"/>
    <xf numFmtId="167" fontId="12" fillId="0" borderId="53" xfId="0" applyNumberFormat="1" applyFont="1" applyFill="1" applyBorder="1"/>
    <xf numFmtId="165" fontId="12" fillId="0" borderId="54" xfId="0" applyNumberFormat="1" applyFont="1" applyFill="1" applyBorder="1"/>
    <xf numFmtId="168" fontId="12" fillId="0" borderId="53" xfId="0" applyNumberFormat="1" applyFont="1" applyFill="1" applyBorder="1"/>
    <xf numFmtId="168" fontId="12" fillId="0" borderId="51" xfId="0" applyNumberFormat="1" applyFont="1" applyFill="1" applyBorder="1"/>
    <xf numFmtId="3" fontId="9" fillId="0" borderId="54" xfId="0" applyNumberFormat="1" applyFont="1" applyFill="1" applyBorder="1"/>
    <xf numFmtId="167" fontId="9" fillId="0" borderId="50" xfId="0" applyNumberFormat="1" applyFont="1" applyFill="1" applyBorder="1"/>
    <xf numFmtId="3" fontId="9" fillId="0" borderId="51" xfId="0" applyNumberFormat="1" applyFont="1" applyFill="1" applyBorder="1"/>
    <xf numFmtId="167" fontId="9" fillId="0" borderId="51" xfId="0" applyNumberFormat="1" applyFont="1" applyFill="1" applyBorder="1"/>
    <xf numFmtId="0" fontId="8" fillId="0" borderId="23" xfId="0" applyFont="1" applyBorder="1" applyAlignment="1"/>
    <xf numFmtId="0" fontId="8" fillId="0" borderId="0" xfId="0" applyFont="1" applyAlignment="1">
      <alignment horizontal="center"/>
    </xf>
    <xf numFmtId="0" fontId="8" fillId="0" borderId="0" xfId="0" applyFont="1" applyBorder="1" applyAlignment="1">
      <alignment horizontal="center"/>
    </xf>
    <xf numFmtId="0" fontId="8" fillId="0" borderId="32" xfId="0" applyFont="1" applyFill="1" applyBorder="1" applyAlignment="1">
      <alignment horizontal="center"/>
    </xf>
    <xf numFmtId="3" fontId="7" fillId="0" borderId="36" xfId="0" applyNumberFormat="1" applyFont="1" applyFill="1" applyBorder="1"/>
    <xf numFmtId="3" fontId="7" fillId="0" borderId="37" xfId="0" applyNumberFormat="1" applyFont="1" applyFill="1" applyBorder="1"/>
    <xf numFmtId="0" fontId="7" fillId="0" borderId="31" xfId="0" applyFont="1" applyFill="1" applyBorder="1"/>
    <xf numFmtId="0" fontId="8" fillId="0" borderId="63" xfId="0" applyFont="1" applyFill="1" applyBorder="1" applyAlignment="1">
      <alignment horizontal="center"/>
    </xf>
    <xf numFmtId="3" fontId="7" fillId="0" borderId="34" xfId="0" applyNumberFormat="1" applyFont="1" applyFill="1" applyBorder="1"/>
    <xf numFmtId="3" fontId="7" fillId="0" borderId="38" xfId="0" applyNumberFormat="1" applyFont="1" applyFill="1" applyBorder="1"/>
    <xf numFmtId="0" fontId="8" fillId="0" borderId="7" xfId="0" applyFont="1" applyBorder="1" applyAlignment="1">
      <alignment horizontal="center" vertical="center" wrapText="1"/>
    </xf>
    <xf numFmtId="0" fontId="8" fillId="0" borderId="9" xfId="0" applyFont="1" applyBorder="1" applyAlignment="1">
      <alignment horizontal="center" vertical="center" wrapText="1"/>
    </xf>
    <xf numFmtId="9" fontId="8" fillId="0" borderId="9" xfId="0" applyNumberFormat="1" applyFont="1" applyBorder="1" applyAlignment="1">
      <alignment horizontal="center" vertical="center" wrapText="1"/>
    </xf>
    <xf numFmtId="0" fontId="8" fillId="0" borderId="12" xfId="0" applyFont="1" applyBorder="1" applyAlignment="1">
      <alignment horizontal="center" vertical="center" wrapText="1"/>
    </xf>
    <xf numFmtId="166" fontId="7" fillId="0" borderId="0" xfId="0" applyNumberFormat="1" applyFont="1"/>
    <xf numFmtId="167" fontId="7" fillId="0" borderId="6" xfId="0" applyNumberFormat="1" applyFont="1" applyBorder="1"/>
    <xf numFmtId="44" fontId="7" fillId="0" borderId="8" xfId="1" applyFont="1" applyBorder="1"/>
    <xf numFmtId="164" fontId="7" fillId="0" borderId="0" xfId="1" applyNumberFormat="1" applyFont="1" applyBorder="1"/>
    <xf numFmtId="167" fontId="7" fillId="0" borderId="9" xfId="0" applyNumberFormat="1" applyFont="1" applyBorder="1"/>
    <xf numFmtId="3" fontId="13" fillId="0" borderId="0" xfId="0" applyNumberFormat="1" applyFont="1" applyBorder="1" applyAlignment="1">
      <alignment horizontal="right" vertical="center" wrapText="1"/>
    </xf>
    <xf numFmtId="3" fontId="7" fillId="0" borderId="54" xfId="0" applyNumberFormat="1" applyFont="1" applyBorder="1"/>
    <xf numFmtId="4" fontId="7" fillId="0" borderId="3" xfId="0" applyNumberFormat="1" applyFont="1" applyBorder="1"/>
    <xf numFmtId="4" fontId="7" fillId="0" borderId="4" xfId="0" applyNumberFormat="1" applyFont="1" applyBorder="1"/>
    <xf numFmtId="44" fontId="7" fillId="0" borderId="4" xfId="1" applyFont="1" applyBorder="1"/>
    <xf numFmtId="44" fontId="8" fillId="0" borderId="0" xfId="1" applyFont="1" applyBorder="1"/>
    <xf numFmtId="170" fontId="8" fillId="0" borderId="0" xfId="0" applyNumberFormat="1" applyFont="1" applyBorder="1"/>
    <xf numFmtId="167" fontId="7" fillId="0" borderId="51" xfId="0" applyNumberFormat="1" applyFont="1" applyBorder="1" applyAlignment="1">
      <alignment horizontal="right"/>
    </xf>
    <xf numFmtId="167" fontId="7" fillId="0" borderId="51" xfId="0" applyNumberFormat="1" applyFont="1" applyBorder="1"/>
    <xf numFmtId="0" fontId="8" fillId="0" borderId="0" xfId="0" applyFont="1" applyAlignment="1">
      <alignment horizontal="center"/>
    </xf>
    <xf numFmtId="3" fontId="0" fillId="0" borderId="0" xfId="0" applyNumberFormat="1"/>
    <xf numFmtId="0" fontId="8" fillId="0" borderId="0" xfId="0" applyFont="1" applyAlignment="1">
      <alignment horizontal="center"/>
    </xf>
    <xf numFmtId="0" fontId="8" fillId="0" borderId="4" xfId="0" applyFont="1" applyBorder="1" applyAlignment="1">
      <alignment horizontal="center"/>
    </xf>
    <xf numFmtId="0" fontId="7" fillId="0" borderId="0" xfId="0" applyFont="1" applyAlignment="1">
      <alignment horizontal="center" vertical="center"/>
    </xf>
    <xf numFmtId="166" fontId="8" fillId="0" borderId="33" xfId="0" applyNumberFormat="1" applyFont="1" applyBorder="1" applyAlignment="1">
      <alignment horizontal="center"/>
    </xf>
    <xf numFmtId="166" fontId="8" fillId="0" borderId="68" xfId="0" applyNumberFormat="1" applyFont="1" applyBorder="1" applyAlignment="1">
      <alignment horizontal="center"/>
    </xf>
    <xf numFmtId="0" fontId="8" fillId="0" borderId="35" xfId="0" applyFont="1" applyBorder="1" applyAlignment="1">
      <alignment horizontal="center"/>
    </xf>
    <xf numFmtId="0" fontId="7" fillId="0" borderId="55" xfId="0" applyFont="1" applyBorder="1" applyAlignment="1">
      <alignment horizontal="center" vertical="center"/>
    </xf>
    <xf numFmtId="44" fontId="7" fillId="0" borderId="14" xfId="1" applyFont="1" applyBorder="1"/>
    <xf numFmtId="166" fontId="7" fillId="0" borderId="14" xfId="0" applyNumberFormat="1" applyFont="1" applyBorder="1"/>
    <xf numFmtId="3" fontId="23" fillId="0" borderId="14" xfId="0" applyNumberFormat="1" applyFont="1" applyBorder="1" applyAlignment="1">
      <alignment horizontal="right" vertical="center" wrapText="1"/>
    </xf>
    <xf numFmtId="0" fontId="0" fillId="0" borderId="58" xfId="0" applyBorder="1"/>
    <xf numFmtId="166" fontId="7" fillId="0" borderId="13" xfId="0" applyNumberFormat="1" applyFont="1" applyBorder="1" applyAlignment="1">
      <alignment horizontal="center"/>
    </xf>
    <xf numFmtId="166" fontId="7" fillId="0" borderId="14" xfId="0" applyNumberFormat="1" applyFont="1" applyBorder="1" applyAlignment="1">
      <alignment horizontal="center"/>
    </xf>
    <xf numFmtId="0" fontId="7" fillId="0" borderId="57" xfId="0" applyFont="1" applyBorder="1" applyAlignment="1">
      <alignment horizontal="center" vertical="center"/>
    </xf>
    <xf numFmtId="166" fontId="7" fillId="0" borderId="23" xfId="0" applyNumberFormat="1" applyFont="1" applyFill="1" applyBorder="1" applyAlignment="1">
      <alignment horizontal="center"/>
    </xf>
    <xf numFmtId="166" fontId="7" fillId="0" borderId="0" xfId="0" applyNumberFormat="1" applyFont="1" applyFill="1" applyBorder="1" applyAlignment="1">
      <alignment horizontal="center"/>
    </xf>
    <xf numFmtId="0" fontId="0" fillId="0" borderId="30" xfId="0" applyFill="1" applyBorder="1"/>
    <xf numFmtId="4" fontId="7" fillId="0" borderId="30" xfId="0" applyNumberFormat="1" applyFont="1" applyFill="1" applyBorder="1" applyAlignment="1">
      <alignment horizontal="right"/>
    </xf>
    <xf numFmtId="0" fontId="7" fillId="0" borderId="0" xfId="0" applyFont="1" applyFill="1" applyBorder="1" applyAlignment="1">
      <alignment horizontal="left"/>
    </xf>
    <xf numFmtId="0" fontId="7" fillId="0" borderId="0" xfId="0" applyFont="1" applyBorder="1" applyAlignment="1">
      <alignment horizontal="left"/>
    </xf>
    <xf numFmtId="0" fontId="7" fillId="0" borderId="23" xfId="0" applyFont="1" applyFill="1" applyBorder="1" applyAlignment="1">
      <alignment horizontal="left"/>
    </xf>
    <xf numFmtId="0" fontId="7" fillId="0" borderId="30" xfId="0" applyFont="1" applyFill="1" applyBorder="1" applyAlignment="1">
      <alignment horizontal="left"/>
    </xf>
    <xf numFmtId="0" fontId="7" fillId="0" borderId="23" xfId="0" applyFont="1" applyFill="1" applyBorder="1" applyAlignment="1">
      <alignment horizontal="right"/>
    </xf>
    <xf numFmtId="0" fontId="7" fillId="0" borderId="0" xfId="0" applyFont="1" applyFill="1" applyBorder="1" applyAlignment="1">
      <alignment horizontal="right"/>
    </xf>
    <xf numFmtId="4" fontId="7" fillId="0" borderId="23" xfId="0" applyNumberFormat="1" applyFont="1" applyFill="1" applyBorder="1" applyAlignment="1">
      <alignment horizontal="right"/>
    </xf>
    <xf numFmtId="4" fontId="7" fillId="0" borderId="0" xfId="0" applyNumberFormat="1" applyFont="1" applyFill="1" applyBorder="1" applyAlignment="1">
      <alignment horizontal="right"/>
    </xf>
    <xf numFmtId="0" fontId="7" fillId="0" borderId="59" xfId="0" applyFont="1" applyBorder="1" applyAlignment="1">
      <alignment horizontal="center" vertical="center"/>
    </xf>
    <xf numFmtId="4" fontId="17" fillId="0" borderId="0" xfId="0" applyNumberFormat="1" applyFont="1" applyFill="1" applyBorder="1" applyAlignment="1">
      <alignment horizontal="right"/>
    </xf>
    <xf numFmtId="4" fontId="20" fillId="0" borderId="0" xfId="0" applyNumberFormat="1" applyFont="1" applyBorder="1"/>
    <xf numFmtId="0" fontId="8" fillId="0" borderId="2" xfId="0" applyFont="1" applyBorder="1" applyAlignment="1">
      <alignment horizontal="center"/>
    </xf>
    <xf numFmtId="0" fontId="8" fillId="4" borderId="4" xfId="0" applyFont="1" applyFill="1" applyBorder="1" applyAlignment="1">
      <alignment horizontal="center"/>
    </xf>
    <xf numFmtId="3" fontId="24" fillId="0" borderId="4" xfId="0" applyNumberFormat="1" applyFont="1" applyBorder="1"/>
    <xf numFmtId="3" fontId="8" fillId="0" borderId="4" xfId="0" applyNumberFormat="1" applyFont="1" applyBorder="1"/>
    <xf numFmtId="169" fontId="8" fillId="0" borderId="4" xfId="0" applyNumberFormat="1" applyFont="1" applyBorder="1"/>
    <xf numFmtId="167" fontId="7" fillId="0" borderId="0" xfId="0" applyNumberFormat="1" applyFont="1" applyAlignment="1">
      <alignment horizontal="center"/>
    </xf>
    <xf numFmtId="3" fontId="8" fillId="4" borderId="4" xfId="0" applyNumberFormat="1" applyFont="1" applyFill="1" applyBorder="1"/>
    <xf numFmtId="4" fontId="7" fillId="0" borderId="0" xfId="0" applyNumberFormat="1" applyFont="1" applyAlignment="1">
      <alignment horizontal="center"/>
    </xf>
    <xf numFmtId="0" fontId="5" fillId="0" borderId="0" xfId="0" applyFont="1" applyAlignment="1">
      <alignment horizontal="center"/>
    </xf>
    <xf numFmtId="0" fontId="8" fillId="0" borderId="0" xfId="0" applyFont="1" applyAlignment="1">
      <alignment horizontal="center"/>
    </xf>
    <xf numFmtId="0" fontId="8" fillId="0" borderId="4" xfId="0" applyFont="1" applyBorder="1" applyAlignment="1">
      <alignment horizontal="center"/>
    </xf>
    <xf numFmtId="0" fontId="8" fillId="0" borderId="0" xfId="0" applyFont="1" applyBorder="1" applyAlignment="1">
      <alignment horizontal="center"/>
    </xf>
    <xf numFmtId="0" fontId="8" fillId="0" borderId="1" xfId="0" applyFont="1" applyBorder="1" applyAlignment="1">
      <alignment horizontal="center"/>
    </xf>
    <xf numFmtId="0" fontId="8" fillId="0" borderId="3" xfId="0" applyFont="1" applyBorder="1" applyAlignment="1">
      <alignment horizontal="center"/>
    </xf>
    <xf numFmtId="0" fontId="8" fillId="0" borderId="4" xfId="0" applyFont="1" applyBorder="1" applyAlignment="1">
      <alignment horizontal="center" vertical="center"/>
    </xf>
    <xf numFmtId="4" fontId="7" fillId="0" borderId="30" xfId="0" applyNumberFormat="1" applyFont="1" applyFill="1" applyBorder="1" applyAlignment="1">
      <alignment horizontal="right"/>
    </xf>
    <xf numFmtId="3" fontId="5" fillId="0" borderId="53" xfId="0" applyNumberFormat="1" applyFont="1" applyFill="1" applyBorder="1"/>
    <xf numFmtId="166" fontId="5" fillId="0" borderId="51" xfId="0" applyNumberFormat="1" applyFont="1" applyFill="1" applyBorder="1"/>
    <xf numFmtId="169" fontId="5" fillId="0" borderId="51" xfId="0" applyNumberFormat="1" applyFont="1" applyFill="1" applyBorder="1"/>
    <xf numFmtId="165" fontId="5" fillId="0" borderId="54" xfId="0" applyNumberFormat="1" applyFont="1" applyFill="1" applyBorder="1" applyAlignment="1">
      <alignment horizontal="right"/>
    </xf>
    <xf numFmtId="165" fontId="5" fillId="0" borderId="53" xfId="0" applyNumberFormat="1" applyFont="1" applyFill="1" applyBorder="1" applyAlignment="1">
      <alignment horizontal="right"/>
    </xf>
    <xf numFmtId="165" fontId="5" fillId="0" borderId="51" xfId="0" applyNumberFormat="1" applyFont="1" applyFill="1" applyBorder="1" applyAlignment="1">
      <alignment horizontal="right"/>
    </xf>
    <xf numFmtId="167" fontId="5" fillId="0" borderId="51" xfId="0" applyNumberFormat="1" applyFont="1" applyFill="1" applyBorder="1"/>
    <xf numFmtId="3" fontId="5" fillId="0" borderId="54" xfId="0" applyNumberFormat="1" applyFont="1" applyFill="1" applyBorder="1"/>
    <xf numFmtId="165" fontId="5" fillId="0" borderId="53" xfId="0" applyNumberFormat="1" applyFont="1" applyFill="1" applyBorder="1"/>
    <xf numFmtId="0" fontId="8" fillId="0" borderId="9" xfId="0" applyFont="1" applyBorder="1" applyAlignment="1">
      <alignment horizontal="center"/>
    </xf>
    <xf numFmtId="166" fontId="7" fillId="0" borderId="6" xfId="0" applyNumberFormat="1" applyFont="1" applyBorder="1"/>
    <xf numFmtId="165" fontId="7" fillId="0" borderId="0" xfId="1" applyNumberFormat="1" applyFont="1" applyBorder="1"/>
    <xf numFmtId="44" fontId="8" fillId="0" borderId="4" xfId="1" applyFont="1" applyBorder="1"/>
    <xf numFmtId="0" fontId="0" fillId="0" borderId="0" xfId="0" applyAlignment="1">
      <alignment horizontal="center" vertical="center"/>
    </xf>
    <xf numFmtId="0" fontId="8" fillId="0" borderId="7" xfId="0" applyFont="1" applyBorder="1" applyAlignment="1">
      <alignment horizontal="center" vertical="center"/>
    </xf>
    <xf numFmtId="0" fontId="8" fillId="0" borderId="9" xfId="0" applyFont="1" applyBorder="1" applyAlignment="1">
      <alignment horizontal="center" vertical="center"/>
    </xf>
    <xf numFmtId="0" fontId="8" fillId="0" borderId="12" xfId="0" applyFont="1" applyBorder="1" applyAlignment="1">
      <alignment horizontal="center"/>
    </xf>
    <xf numFmtId="168" fontId="7" fillId="0" borderId="6" xfId="1" applyNumberFormat="1" applyFont="1" applyBorder="1"/>
    <xf numFmtId="171" fontId="7" fillId="0" borderId="6" xfId="1" applyNumberFormat="1" applyFont="1" applyBorder="1"/>
    <xf numFmtId="167" fontId="7" fillId="0" borderId="6" xfId="0" applyNumberFormat="1" applyFont="1" applyBorder="1" applyAlignment="1">
      <alignment horizontal="center"/>
    </xf>
    <xf numFmtId="3" fontId="7" fillId="0" borderId="7" xfId="0" applyNumberFormat="1" applyFont="1" applyBorder="1" applyAlignment="1">
      <alignment horizontal="right"/>
    </xf>
    <xf numFmtId="4" fontId="7" fillId="0" borderId="69" xfId="0" applyNumberFormat="1" applyFont="1" applyBorder="1" applyAlignment="1">
      <alignment horizontal="center"/>
    </xf>
    <xf numFmtId="170" fontId="0" fillId="0" borderId="0" xfId="0" applyNumberFormat="1"/>
    <xf numFmtId="168" fontId="7" fillId="0" borderId="0" xfId="1" applyNumberFormat="1" applyFont="1" applyBorder="1"/>
    <xf numFmtId="171" fontId="7" fillId="0" borderId="0" xfId="1" applyNumberFormat="1" applyFont="1" applyBorder="1"/>
    <xf numFmtId="167" fontId="7" fillId="0" borderId="0" xfId="0" applyNumberFormat="1" applyFont="1" applyBorder="1" applyAlignment="1">
      <alignment horizontal="center"/>
    </xf>
    <xf numFmtId="3" fontId="7" fillId="0" borderId="9" xfId="0" applyNumberFormat="1" applyFont="1" applyBorder="1" applyAlignment="1">
      <alignment horizontal="right"/>
    </xf>
    <xf numFmtId="170" fontId="25" fillId="0" borderId="0" xfId="0" applyNumberFormat="1" applyFont="1"/>
    <xf numFmtId="167" fontId="7" fillId="0" borderId="11" xfId="0" applyNumberFormat="1" applyFont="1" applyBorder="1" applyAlignment="1">
      <alignment horizontal="center"/>
    </xf>
    <xf numFmtId="4" fontId="7" fillId="0" borderId="0" xfId="0" applyNumberFormat="1" applyFont="1" applyBorder="1" applyAlignment="1">
      <alignment horizontal="center"/>
    </xf>
    <xf numFmtId="168" fontId="8" fillId="0" borderId="2" xfId="1" applyNumberFormat="1" applyFont="1" applyBorder="1"/>
    <xf numFmtId="171" fontId="8" fillId="0" borderId="3" xfId="1" applyNumberFormat="1" applyFont="1" applyBorder="1"/>
    <xf numFmtId="4" fontId="8" fillId="0" borderId="4" xfId="0" applyNumberFormat="1" applyFont="1" applyBorder="1" applyAlignment="1">
      <alignment horizontal="center"/>
    </xf>
    <xf numFmtId="167" fontId="8" fillId="0" borderId="4" xfId="0" applyNumberFormat="1" applyFont="1" applyBorder="1" applyAlignment="1">
      <alignment horizontal="center"/>
    </xf>
    <xf numFmtId="3" fontId="8" fillId="0" borderId="4" xfId="0" applyNumberFormat="1" applyFont="1" applyBorder="1" applyAlignment="1">
      <alignment horizontal="right"/>
    </xf>
    <xf numFmtId="3" fontId="7" fillId="5" borderId="4" xfId="0" applyNumberFormat="1" applyFont="1" applyFill="1" applyBorder="1"/>
    <xf numFmtId="3" fontId="8" fillId="5" borderId="4" xfId="0" applyNumberFormat="1" applyFont="1" applyFill="1" applyBorder="1"/>
    <xf numFmtId="0" fontId="0" fillId="5" borderId="0" xfId="0" applyFill="1"/>
    <xf numFmtId="3" fontId="26" fillId="0" borderId="4" xfId="0" applyNumberFormat="1" applyFont="1" applyBorder="1"/>
    <xf numFmtId="0" fontId="8" fillId="0" borderId="72" xfId="0" applyFont="1" applyBorder="1" applyAlignment="1">
      <alignment horizontal="center"/>
    </xf>
    <xf numFmtId="0" fontId="8" fillId="2" borderId="72" xfId="0" applyFont="1" applyFill="1" applyBorder="1" applyAlignment="1">
      <alignment horizontal="center"/>
    </xf>
    <xf numFmtId="0" fontId="8" fillId="2" borderId="58" xfId="0" applyFont="1" applyFill="1" applyBorder="1" applyAlignment="1">
      <alignment horizontal="center"/>
    </xf>
    <xf numFmtId="0" fontId="8" fillId="2" borderId="9" xfId="0" applyFont="1" applyFill="1" applyBorder="1" applyAlignment="1">
      <alignment horizontal="center"/>
    </xf>
    <xf numFmtId="0" fontId="8" fillId="2" borderId="30" xfId="0" applyFont="1" applyFill="1" applyBorder="1" applyAlignment="1">
      <alignment horizontal="center"/>
    </xf>
    <xf numFmtId="170" fontId="7" fillId="0" borderId="0" xfId="0" applyNumberFormat="1" applyFont="1"/>
    <xf numFmtId="49" fontId="8" fillId="0" borderId="4" xfId="0" applyNumberFormat="1" applyFont="1" applyBorder="1" applyAlignment="1">
      <alignment horizontal="center"/>
    </xf>
    <xf numFmtId="49" fontId="8" fillId="0" borderId="12" xfId="0" applyNumberFormat="1" applyFont="1" applyBorder="1" applyAlignment="1">
      <alignment horizontal="center"/>
    </xf>
    <xf numFmtId="49" fontId="8" fillId="2" borderId="12" xfId="0" applyNumberFormat="1" applyFont="1" applyFill="1" applyBorder="1" applyAlignment="1">
      <alignment horizontal="center"/>
    </xf>
    <xf numFmtId="0" fontId="8" fillId="2" borderId="12" xfId="0" applyFont="1" applyFill="1" applyBorder="1" applyAlignment="1">
      <alignment horizontal="center"/>
    </xf>
    <xf numFmtId="0" fontId="8" fillId="2" borderId="78" xfId="0" applyFont="1" applyFill="1" applyBorder="1" applyAlignment="1">
      <alignment horizontal="center"/>
    </xf>
    <xf numFmtId="167" fontId="7" fillId="0" borderId="0" xfId="1" applyNumberFormat="1" applyFont="1" applyBorder="1"/>
    <xf numFmtId="4" fontId="7" fillId="2" borderId="0" xfId="0" applyNumberFormat="1" applyFont="1" applyFill="1" applyBorder="1"/>
    <xf numFmtId="3" fontId="7" fillId="2" borderId="0" xfId="0" applyNumberFormat="1" applyFont="1" applyFill="1" applyBorder="1"/>
    <xf numFmtId="166" fontId="7" fillId="2" borderId="0" xfId="0" applyNumberFormat="1" applyFont="1" applyFill="1" applyBorder="1"/>
    <xf numFmtId="3" fontId="7" fillId="2" borderId="27" xfId="0" applyNumberFormat="1" applyFont="1" applyFill="1" applyBorder="1"/>
    <xf numFmtId="170" fontId="27" fillId="0" borderId="0" xfId="0" applyNumberFormat="1" applyFont="1"/>
    <xf numFmtId="3" fontId="7" fillId="2" borderId="30" xfId="0" applyNumberFormat="1" applyFont="1" applyFill="1" applyBorder="1"/>
    <xf numFmtId="166" fontId="7" fillId="0" borderId="0" xfId="0" applyNumberFormat="1" applyFont="1" applyFill="1" applyBorder="1"/>
    <xf numFmtId="167" fontId="7" fillId="0" borderId="22" xfId="1" applyNumberFormat="1" applyFont="1" applyBorder="1"/>
    <xf numFmtId="165" fontId="7" fillId="0" borderId="22" xfId="1" applyNumberFormat="1" applyFont="1" applyBorder="1"/>
    <xf numFmtId="167" fontId="7" fillId="0" borderId="22" xfId="0" applyNumberFormat="1" applyFont="1" applyBorder="1"/>
    <xf numFmtId="3" fontId="7" fillId="0" borderId="22" xfId="0" applyNumberFormat="1" applyFont="1" applyBorder="1"/>
    <xf numFmtId="4" fontId="7" fillId="0" borderId="22" xfId="0" applyNumberFormat="1" applyFont="1" applyBorder="1"/>
    <xf numFmtId="166" fontId="7" fillId="0" borderId="22" xfId="0" applyNumberFormat="1" applyFont="1" applyBorder="1"/>
    <xf numFmtId="4" fontId="7" fillId="2" borderId="22" xfId="0" applyNumberFormat="1" applyFont="1" applyFill="1" applyBorder="1"/>
    <xf numFmtId="3" fontId="7" fillId="2" borderId="22" xfId="0" applyNumberFormat="1" applyFont="1" applyFill="1" applyBorder="1"/>
    <xf numFmtId="166" fontId="7" fillId="2" borderId="22" xfId="0" applyNumberFormat="1" applyFont="1" applyFill="1" applyBorder="1"/>
    <xf numFmtId="3" fontId="7" fillId="2" borderId="40" xfId="0" applyNumberFormat="1" applyFont="1" applyFill="1" applyBorder="1"/>
    <xf numFmtId="0" fontId="8" fillId="0" borderId="53" xfId="0" applyFont="1" applyBorder="1"/>
    <xf numFmtId="164" fontId="8" fillId="0" borderId="51" xfId="1" applyNumberFormat="1" applyFont="1" applyBorder="1"/>
    <xf numFmtId="165" fontId="8" fillId="0" borderId="51" xfId="1" applyNumberFormat="1" applyFont="1" applyBorder="1"/>
    <xf numFmtId="4" fontId="8" fillId="2" borderId="51" xfId="0" applyNumberFormat="1" applyFont="1" applyFill="1" applyBorder="1"/>
    <xf numFmtId="4" fontId="7" fillId="2" borderId="56" xfId="0" applyNumberFormat="1" applyFont="1" applyFill="1" applyBorder="1"/>
    <xf numFmtId="3" fontId="8" fillId="2" borderId="51" xfId="0" applyNumberFormat="1" applyFont="1" applyFill="1" applyBorder="1" applyAlignment="1">
      <alignment horizontal="right"/>
    </xf>
    <xf numFmtId="4" fontId="8" fillId="2" borderId="51" xfId="0" applyNumberFormat="1" applyFont="1" applyFill="1" applyBorder="1" applyAlignment="1">
      <alignment horizontal="right"/>
    </xf>
    <xf numFmtId="3" fontId="8" fillId="2" borderId="54" xfId="0" applyNumberFormat="1" applyFont="1" applyFill="1" applyBorder="1"/>
    <xf numFmtId="164" fontId="8" fillId="0" borderId="0" xfId="1" applyNumberFormat="1" applyFont="1" applyBorder="1" applyAlignment="1">
      <alignment horizontal="center"/>
    </xf>
    <xf numFmtId="7" fontId="7" fillId="0" borderId="0" xfId="0" applyNumberFormat="1" applyFont="1"/>
    <xf numFmtId="0" fontId="7" fillId="0" borderId="4" xfId="0" applyFont="1" applyBorder="1"/>
    <xf numFmtId="44" fontId="7" fillId="0" borderId="6" xfId="1" applyFont="1" applyBorder="1"/>
    <xf numFmtId="44" fontId="28" fillId="0" borderId="0" xfId="0" applyNumberFormat="1" applyFont="1"/>
    <xf numFmtId="44" fontId="7" fillId="0" borderId="0" xfId="1" applyFont="1" applyBorder="1"/>
    <xf numFmtId="44" fontId="27" fillId="0" borderId="0" xfId="0" applyNumberFormat="1" applyFont="1"/>
    <xf numFmtId="170" fontId="8" fillId="0" borderId="4" xfId="0" applyNumberFormat="1" applyFont="1" applyBorder="1"/>
    <xf numFmtId="44" fontId="8" fillId="0" borderId="4" xfId="0" applyNumberFormat="1" applyFont="1" applyBorder="1"/>
    <xf numFmtId="164" fontId="8" fillId="0" borderId="4" xfId="0" applyNumberFormat="1" applyFont="1" applyBorder="1"/>
    <xf numFmtId="164" fontId="8" fillId="0" borderId="0" xfId="0" applyNumberFormat="1" applyFont="1" applyBorder="1"/>
    <xf numFmtId="3" fontId="9" fillId="0" borderId="11" xfId="0" applyNumberFormat="1" applyFont="1" applyFill="1" applyBorder="1" applyAlignment="1"/>
    <xf numFmtId="3" fontId="7" fillId="0" borderId="12" xfId="0" applyNumberFormat="1" applyFont="1" applyBorder="1" applyAlignment="1">
      <alignment horizontal="right"/>
    </xf>
    <xf numFmtId="167" fontId="8" fillId="0" borderId="51" xfId="0" applyNumberFormat="1" applyFont="1" applyBorder="1"/>
    <xf numFmtId="172" fontId="8" fillId="0" borderId="51" xfId="0" applyNumberFormat="1" applyFont="1" applyBorder="1"/>
    <xf numFmtId="4" fontId="7" fillId="6" borderId="0" xfId="0" applyNumberFormat="1" applyFont="1" applyFill="1" applyBorder="1"/>
    <xf numFmtId="4" fontId="7" fillId="6" borderId="22" xfId="0" applyNumberFormat="1" applyFont="1" applyFill="1" applyBorder="1"/>
    <xf numFmtId="0" fontId="8" fillId="0" borderId="8" xfId="0" applyFont="1" applyBorder="1" applyAlignment="1">
      <alignment horizontal="center" vertical="center" wrapText="1"/>
    </xf>
    <xf numFmtId="0" fontId="8" fillId="0" borderId="70" xfId="0" applyFont="1" applyBorder="1" applyAlignment="1">
      <alignment horizontal="center" vertical="center" wrapText="1"/>
    </xf>
    <xf numFmtId="0" fontId="8" fillId="0" borderId="28" xfId="0" applyFont="1" applyBorder="1" applyAlignment="1">
      <alignment horizontal="center" vertical="center" wrapText="1"/>
    </xf>
    <xf numFmtId="49" fontId="8" fillId="0" borderId="36" xfId="0" applyNumberFormat="1" applyFont="1" applyBorder="1" applyAlignment="1">
      <alignment horizontal="center"/>
    </xf>
    <xf numFmtId="165" fontId="0" fillId="0" borderId="0" xfId="0" applyNumberFormat="1" applyAlignment="1">
      <alignment horizontal="center"/>
    </xf>
    <xf numFmtId="49" fontId="16" fillId="0" borderId="59" xfId="0" applyNumberFormat="1" applyFont="1" applyFill="1" applyBorder="1" applyAlignment="1">
      <alignment horizontal="center" vertical="center" wrapText="1"/>
    </xf>
    <xf numFmtId="49" fontId="10" fillId="0" borderId="31" xfId="0" applyNumberFormat="1" applyFont="1" applyBorder="1" applyAlignment="1">
      <alignment horizontal="center"/>
    </xf>
    <xf numFmtId="1" fontId="0" fillId="0" borderId="0" xfId="0" applyNumberFormat="1" applyAlignment="1"/>
    <xf numFmtId="164" fontId="6" fillId="0" borderId="24" xfId="1" applyNumberFormat="1" applyFont="1" applyFill="1" applyBorder="1" applyAlignment="1">
      <alignment horizontal="center"/>
    </xf>
    <xf numFmtId="165" fontId="6" fillId="0" borderId="29" xfId="1" applyNumberFormat="1" applyFont="1" applyFill="1" applyBorder="1"/>
    <xf numFmtId="3" fontId="6" fillId="0" borderId="24" xfId="0" applyNumberFormat="1" applyFont="1" applyFill="1" applyBorder="1"/>
    <xf numFmtId="166" fontId="6" fillId="0" borderId="5" xfId="0" applyNumberFormat="1" applyFont="1" applyFill="1" applyBorder="1"/>
    <xf numFmtId="167" fontId="6" fillId="0" borderId="5" xfId="0" applyNumberFormat="1" applyFont="1" applyFill="1" applyBorder="1"/>
    <xf numFmtId="165" fontId="6" fillId="0" borderId="29" xfId="0" applyNumberFormat="1" applyFont="1" applyFill="1" applyBorder="1" applyAlignment="1">
      <alignment horizontal="right"/>
    </xf>
    <xf numFmtId="165" fontId="6" fillId="0" borderId="24" xfId="0" applyNumberFormat="1" applyFont="1" applyFill="1" applyBorder="1" applyAlignment="1">
      <alignment horizontal="right"/>
    </xf>
    <xf numFmtId="165" fontId="6" fillId="0" borderId="5" xfId="0" applyNumberFormat="1" applyFont="1" applyFill="1" applyBorder="1" applyAlignment="1">
      <alignment horizontal="right"/>
    </xf>
    <xf numFmtId="3" fontId="6" fillId="0" borderId="29" xfId="0" applyNumberFormat="1" applyFont="1" applyFill="1" applyBorder="1"/>
    <xf numFmtId="165" fontId="6" fillId="0" borderId="7" xfId="0" applyNumberFormat="1" applyFont="1" applyFill="1" applyBorder="1"/>
    <xf numFmtId="3" fontId="6" fillId="0" borderId="69" xfId="0" applyNumberFormat="1" applyFont="1" applyFill="1" applyBorder="1"/>
    <xf numFmtId="165" fontId="6" fillId="0" borderId="48" xfId="0" applyNumberFormat="1" applyFont="1" applyFill="1" applyBorder="1"/>
    <xf numFmtId="165" fontId="5" fillId="0" borderId="49" xfId="0" applyNumberFormat="1" applyFont="1" applyFill="1" applyBorder="1"/>
    <xf numFmtId="167" fontId="8" fillId="0" borderId="51" xfId="0" applyNumberFormat="1" applyFont="1" applyFill="1" applyBorder="1"/>
    <xf numFmtId="3" fontId="8" fillId="0" borderId="52" xfId="0" applyNumberFormat="1" applyFont="1" applyFill="1" applyBorder="1"/>
    <xf numFmtId="3" fontId="8" fillId="0" borderId="54" xfId="0" applyNumberFormat="1" applyFont="1" applyFill="1" applyBorder="1"/>
    <xf numFmtId="0" fontId="8" fillId="0" borderId="11" xfId="0" applyFont="1" applyBorder="1" applyAlignment="1"/>
    <xf numFmtId="0" fontId="29" fillId="0" borderId="0" xfId="2"/>
    <xf numFmtId="0" fontId="33" fillId="0" borderId="49" xfId="2" applyFont="1" applyFill="1" applyBorder="1" applyAlignment="1">
      <alignment horizontal="center" vertical="center" wrapText="1"/>
    </xf>
    <xf numFmtId="0" fontId="33" fillId="0" borderId="56" xfId="2" applyFont="1" applyFill="1" applyBorder="1" applyAlignment="1">
      <alignment horizontal="center" vertical="center" wrapText="1"/>
    </xf>
    <xf numFmtId="0" fontId="33" fillId="0" borderId="21" xfId="2" applyFont="1" applyFill="1" applyBorder="1" applyAlignment="1">
      <alignment horizontal="center" vertical="center" wrapText="1"/>
    </xf>
    <xf numFmtId="0" fontId="33" fillId="0" borderId="57" xfId="2" applyFont="1" applyBorder="1"/>
    <xf numFmtId="10" fontId="33" fillId="0" borderId="55" xfId="2" applyNumberFormat="1" applyFont="1" applyBorder="1" applyAlignment="1">
      <alignment horizontal="right"/>
    </xf>
    <xf numFmtId="3" fontId="33" fillId="0" borderId="57" xfId="2" applyNumberFormat="1" applyFont="1" applyBorder="1"/>
    <xf numFmtId="3" fontId="33" fillId="0" borderId="0" xfId="2" applyNumberFormat="1" applyFont="1" applyBorder="1"/>
    <xf numFmtId="3" fontId="33" fillId="0" borderId="55" xfId="2" applyNumberFormat="1" applyFont="1" applyBorder="1"/>
    <xf numFmtId="3" fontId="33" fillId="0" borderId="30" xfId="2" applyNumberFormat="1" applyFont="1" applyBorder="1"/>
    <xf numFmtId="10" fontId="33" fillId="0" borderId="57" xfId="2" applyNumberFormat="1" applyFont="1" applyBorder="1" applyAlignment="1">
      <alignment horizontal="right"/>
    </xf>
    <xf numFmtId="10" fontId="33" fillId="0" borderId="59" xfId="2" applyNumberFormat="1" applyFont="1" applyBorder="1" applyAlignment="1">
      <alignment horizontal="right"/>
    </xf>
    <xf numFmtId="3" fontId="33" fillId="0" borderId="59" xfId="2" applyNumberFormat="1" applyFont="1" applyBorder="1"/>
    <xf numFmtId="0" fontId="33" fillId="0" borderId="49" xfId="2" applyFont="1" applyBorder="1"/>
    <xf numFmtId="10" fontId="33" fillId="0" borderId="49" xfId="2" applyNumberFormat="1" applyFont="1" applyBorder="1" applyAlignment="1">
      <alignment horizontal="right"/>
    </xf>
    <xf numFmtId="3" fontId="34" fillId="0" borderId="49" xfId="2" applyNumberFormat="1" applyFont="1" applyBorder="1"/>
    <xf numFmtId="167" fontId="9" fillId="0" borderId="43" xfId="0" applyNumberFormat="1" applyFont="1" applyFill="1" applyBorder="1" applyAlignment="1"/>
    <xf numFmtId="167" fontId="9" fillId="0" borderId="34" xfId="0" applyNumberFormat="1" applyFont="1" applyFill="1" applyBorder="1" applyAlignment="1"/>
    <xf numFmtId="3" fontId="9" fillId="0" borderId="37" xfId="0" applyNumberFormat="1" applyFont="1" applyFill="1" applyBorder="1" applyAlignment="1"/>
    <xf numFmtId="167" fontId="9" fillId="0" borderId="18" xfId="0" applyNumberFormat="1" applyFont="1" applyFill="1" applyBorder="1" applyAlignment="1"/>
    <xf numFmtId="167" fontId="9" fillId="0" borderId="3" xfId="0" applyNumberFormat="1" applyFont="1" applyFill="1" applyBorder="1" applyAlignment="1"/>
    <xf numFmtId="167" fontId="9" fillId="0" borderId="65" xfId="0" applyNumberFormat="1" applyFont="1" applyFill="1" applyBorder="1" applyAlignment="1"/>
    <xf numFmtId="0" fontId="7" fillId="0" borderId="70" xfId="0" applyFont="1" applyBorder="1"/>
    <xf numFmtId="164" fontId="7" fillId="0" borderId="71" xfId="1" applyNumberFormat="1" applyFont="1" applyBorder="1" applyAlignment="1">
      <alignment horizontal="center"/>
    </xf>
    <xf numFmtId="165" fontId="7" fillId="0" borderId="8" xfId="1" applyNumberFormat="1" applyFont="1" applyBorder="1"/>
    <xf numFmtId="167" fontId="7" fillId="0" borderId="71" xfId="0" applyNumberFormat="1" applyFont="1" applyBorder="1"/>
    <xf numFmtId="3" fontId="7" fillId="0" borderId="8" xfId="0" applyNumberFormat="1" applyFont="1" applyFill="1" applyBorder="1" applyAlignment="1">
      <alignment horizontal="right"/>
    </xf>
    <xf numFmtId="0" fontId="7" fillId="0" borderId="28" xfId="0" applyFont="1" applyBorder="1"/>
    <xf numFmtId="164" fontId="7" fillId="0" borderId="8" xfId="1" applyNumberFormat="1" applyFont="1" applyBorder="1" applyAlignment="1">
      <alignment horizontal="center"/>
    </xf>
    <xf numFmtId="167" fontId="7" fillId="0" borderId="8" xfId="0" applyNumberFormat="1" applyFont="1" applyBorder="1"/>
    <xf numFmtId="0" fontId="7" fillId="0" borderId="34" xfId="0" applyFont="1" applyBorder="1"/>
    <xf numFmtId="164" fontId="7" fillId="0" borderId="36" xfId="1" applyNumberFormat="1" applyFont="1" applyBorder="1" applyAlignment="1">
      <alignment horizontal="center"/>
    </xf>
    <xf numFmtId="165" fontId="7" fillId="0" borderId="36" xfId="1" applyNumberFormat="1" applyFont="1" applyBorder="1"/>
    <xf numFmtId="167" fontId="7" fillId="0" borderId="36" xfId="0" applyNumberFormat="1" applyFont="1" applyBorder="1"/>
    <xf numFmtId="164" fontId="8" fillId="0" borderId="51" xfId="1" applyNumberFormat="1" applyFont="1" applyBorder="1" applyAlignment="1">
      <alignment horizontal="center"/>
    </xf>
    <xf numFmtId="3" fontId="8" fillId="0" borderId="51" xfId="0" applyNumberFormat="1" applyFont="1" applyFill="1" applyBorder="1" applyAlignment="1">
      <alignment horizontal="right"/>
    </xf>
    <xf numFmtId="165" fontId="8" fillId="0" borderId="54" xfId="0" applyNumberFormat="1" applyFont="1" applyFill="1" applyBorder="1" applyAlignment="1">
      <alignment horizontal="right"/>
    </xf>
    <xf numFmtId="0" fontId="8" fillId="0" borderId="71" xfId="0" applyFont="1" applyFill="1" applyBorder="1" applyAlignment="1">
      <alignment horizontal="center"/>
    </xf>
    <xf numFmtId="0" fontId="8" fillId="0" borderId="8" xfId="0" applyFont="1" applyFill="1" applyBorder="1" applyAlignment="1">
      <alignment horizontal="center"/>
    </xf>
    <xf numFmtId="49" fontId="8" fillId="0" borderId="8" xfId="0" applyNumberFormat="1" applyFont="1" applyFill="1" applyBorder="1" applyAlignment="1">
      <alignment horizontal="center"/>
    </xf>
    <xf numFmtId="49" fontId="8" fillId="0" borderId="36" xfId="0" applyNumberFormat="1" applyFont="1" applyFill="1" applyBorder="1" applyAlignment="1">
      <alignment horizontal="center"/>
    </xf>
    <xf numFmtId="49" fontId="8" fillId="0" borderId="37" xfId="0" applyNumberFormat="1" applyFont="1" applyFill="1" applyBorder="1" applyAlignment="1">
      <alignment horizontal="center"/>
    </xf>
    <xf numFmtId="3" fontId="7" fillId="0" borderId="71" xfId="0" applyNumberFormat="1" applyFont="1" applyBorder="1"/>
    <xf numFmtId="167" fontId="7" fillId="0" borderId="71" xfId="0" applyNumberFormat="1" applyFont="1" applyBorder="1" applyAlignment="1">
      <alignment horizontal="right"/>
    </xf>
    <xf numFmtId="3" fontId="7" fillId="0" borderId="8" xfId="0" applyNumberFormat="1" applyFont="1" applyBorder="1" applyAlignment="1">
      <alignment horizontal="right"/>
    </xf>
    <xf numFmtId="3" fontId="7" fillId="0" borderId="29" xfId="0" applyNumberFormat="1" applyFont="1" applyBorder="1" applyAlignment="1">
      <alignment horizontal="right"/>
    </xf>
    <xf numFmtId="3" fontId="7" fillId="0" borderId="8" xfId="0" applyNumberFormat="1" applyFont="1" applyBorder="1"/>
    <xf numFmtId="167" fontId="7" fillId="0" borderId="8" xfId="0" applyNumberFormat="1" applyFont="1" applyBorder="1" applyAlignment="1">
      <alignment horizontal="right"/>
    </xf>
    <xf numFmtId="167" fontId="7" fillId="0" borderId="36" xfId="0" applyNumberFormat="1" applyFont="1" applyBorder="1" applyAlignment="1">
      <alignment horizontal="right"/>
    </xf>
    <xf numFmtId="3" fontId="8" fillId="0" borderId="36" xfId="0" applyNumberFormat="1" applyFont="1" applyBorder="1"/>
    <xf numFmtId="168" fontId="8" fillId="0" borderId="36" xfId="1" applyNumberFormat="1" applyFont="1" applyBorder="1"/>
    <xf numFmtId="3" fontId="8" fillId="0" borderId="51" xfId="0" applyNumberFormat="1" applyFont="1" applyBorder="1" applyAlignment="1">
      <alignment horizontal="right"/>
    </xf>
    <xf numFmtId="3" fontId="8" fillId="0" borderId="54" xfId="0" applyNumberFormat="1" applyFont="1" applyBorder="1" applyAlignment="1">
      <alignment horizontal="right"/>
    </xf>
    <xf numFmtId="49" fontId="14" fillId="0" borderId="36" xfId="0" applyNumberFormat="1" applyFont="1" applyFill="1" applyBorder="1" applyAlignment="1">
      <alignment horizontal="center"/>
    </xf>
    <xf numFmtId="0" fontId="14" fillId="0" borderId="36" xfId="0" applyFont="1" applyFill="1" applyBorder="1" applyAlignment="1">
      <alignment horizontal="center"/>
    </xf>
    <xf numFmtId="49" fontId="14" fillId="0" borderId="37" xfId="0" applyNumberFormat="1" applyFont="1" applyFill="1" applyBorder="1" applyAlignment="1">
      <alignment horizontal="center"/>
    </xf>
    <xf numFmtId="0" fontId="7" fillId="0" borderId="70" xfId="0" applyFont="1" applyFill="1" applyBorder="1"/>
    <xf numFmtId="164" fontId="7" fillId="0" borderId="8" xfId="1" applyNumberFormat="1" applyFont="1" applyFill="1" applyBorder="1" applyAlignment="1">
      <alignment horizontal="right"/>
    </xf>
    <xf numFmtId="165" fontId="7" fillId="0" borderId="8" xfId="1" applyNumberFormat="1" applyFont="1" applyFill="1" applyBorder="1"/>
    <xf numFmtId="4" fontId="7" fillId="0" borderId="8" xfId="0" applyNumberFormat="1" applyFont="1" applyFill="1" applyBorder="1"/>
    <xf numFmtId="166" fontId="7" fillId="0" borderId="8" xfId="0" applyNumberFormat="1" applyFont="1" applyFill="1" applyBorder="1"/>
    <xf numFmtId="167" fontId="7" fillId="0" borderId="8" xfId="0" applyNumberFormat="1" applyFont="1" applyFill="1" applyBorder="1"/>
    <xf numFmtId="3" fontId="7" fillId="0" borderId="8" xfId="0" applyNumberFormat="1" applyFont="1" applyFill="1" applyBorder="1" applyAlignment="1"/>
    <xf numFmtId="3" fontId="7" fillId="0" borderId="29" xfId="0" applyNumberFormat="1" applyFont="1" applyFill="1" applyBorder="1" applyAlignment="1"/>
    <xf numFmtId="0" fontId="7" fillId="0" borderId="28" xfId="0" applyFont="1" applyFill="1" applyBorder="1"/>
    <xf numFmtId="164" fontId="7" fillId="0" borderId="36" xfId="1" applyNumberFormat="1" applyFont="1" applyFill="1" applyBorder="1" applyAlignment="1">
      <alignment horizontal="right"/>
    </xf>
    <xf numFmtId="165" fontId="7" fillId="0" borderId="36" xfId="1" applyNumberFormat="1" applyFont="1" applyFill="1" applyBorder="1"/>
    <xf numFmtId="4" fontId="7" fillId="0" borderId="36" xfId="0" applyNumberFormat="1" applyFont="1" applyFill="1" applyBorder="1"/>
    <xf numFmtId="166" fontId="7" fillId="0" borderId="36" xfId="0" applyNumberFormat="1" applyFont="1" applyFill="1" applyBorder="1"/>
    <xf numFmtId="167" fontId="7" fillId="0" borderId="36" xfId="0" applyNumberFormat="1" applyFont="1" applyFill="1" applyBorder="1"/>
    <xf numFmtId="3" fontId="7" fillId="0" borderId="36" xfId="0" applyNumberFormat="1" applyFont="1" applyFill="1" applyBorder="1" applyAlignment="1"/>
    <xf numFmtId="3" fontId="7" fillId="0" borderId="37" xfId="0" applyNumberFormat="1" applyFont="1" applyFill="1" applyBorder="1" applyAlignment="1"/>
    <xf numFmtId="0" fontId="7" fillId="0" borderId="53" xfId="0" applyFont="1" applyFill="1" applyBorder="1"/>
    <xf numFmtId="164" fontId="8" fillId="0" borderId="51" xfId="1" applyNumberFormat="1" applyFont="1" applyFill="1" applyBorder="1" applyAlignment="1">
      <alignment horizontal="center"/>
    </xf>
    <xf numFmtId="165" fontId="8" fillId="0" borderId="51" xfId="1" applyNumberFormat="1" applyFont="1" applyFill="1" applyBorder="1"/>
    <xf numFmtId="4" fontId="8" fillId="0" borderId="36" xfId="0" applyNumberFormat="1" applyFont="1" applyFill="1" applyBorder="1"/>
    <xf numFmtId="166" fontId="8" fillId="0" borderId="36" xfId="0" applyNumberFormat="1" applyFont="1" applyFill="1" applyBorder="1"/>
    <xf numFmtId="3" fontId="8" fillId="0" borderId="51" xfId="0" applyNumberFormat="1" applyFont="1" applyFill="1" applyBorder="1" applyAlignment="1"/>
    <xf numFmtId="3" fontId="8" fillId="0" borderId="54" xfId="0" applyNumberFormat="1" applyFont="1" applyFill="1" applyBorder="1" applyAlignment="1"/>
    <xf numFmtId="0" fontId="8" fillId="0" borderId="71" xfId="0" applyFont="1" applyBorder="1" applyAlignment="1">
      <alignment horizontal="center" vertical="center" wrapText="1"/>
    </xf>
    <xf numFmtId="9" fontId="8" fillId="0" borderId="8" xfId="0" applyNumberFormat="1" applyFont="1" applyBorder="1" applyAlignment="1">
      <alignment horizontal="center" vertical="center" wrapText="1"/>
    </xf>
    <xf numFmtId="166" fontId="7" fillId="0" borderId="8" xfId="0" applyNumberFormat="1" applyFont="1" applyBorder="1"/>
    <xf numFmtId="3" fontId="7" fillId="0" borderId="29" xfId="0" applyNumberFormat="1" applyFont="1" applyBorder="1"/>
    <xf numFmtId="3" fontId="7" fillId="0" borderId="13" xfId="0" applyNumberFormat="1" applyFont="1" applyFill="1" applyBorder="1"/>
    <xf numFmtId="3" fontId="7" fillId="0" borderId="70" xfId="0" applyNumberFormat="1" applyFont="1" applyFill="1" applyBorder="1"/>
    <xf numFmtId="3" fontId="7" fillId="0" borderId="71" xfId="0" applyNumberFormat="1" applyFont="1" applyFill="1" applyBorder="1"/>
    <xf numFmtId="3" fontId="7" fillId="0" borderId="66" xfId="0" applyNumberFormat="1" applyFont="1" applyFill="1" applyBorder="1"/>
    <xf numFmtId="3" fontId="7" fillId="0" borderId="72" xfId="0" applyNumberFormat="1" applyFont="1" applyFill="1" applyBorder="1"/>
    <xf numFmtId="3" fontId="7" fillId="0" borderId="23" xfId="0" applyNumberFormat="1" applyFont="1" applyFill="1" applyBorder="1"/>
    <xf numFmtId="3" fontId="7" fillId="0" borderId="28" xfId="0" applyNumberFormat="1" applyFont="1" applyFill="1" applyBorder="1"/>
    <xf numFmtId="3" fontId="7" fillId="0" borderId="29" xfId="0" applyNumberFormat="1" applyFont="1" applyFill="1" applyBorder="1"/>
    <xf numFmtId="3" fontId="7" fillId="0" borderId="9" xfId="0" applyNumberFormat="1" applyFont="1" applyFill="1" applyBorder="1"/>
    <xf numFmtId="3" fontId="7" fillId="0" borderId="31" xfId="0" applyNumberFormat="1" applyFont="1" applyFill="1" applyBorder="1"/>
    <xf numFmtId="0" fontId="8" fillId="0" borderId="64" xfId="0" applyFont="1" applyFill="1" applyBorder="1" applyAlignment="1">
      <alignment horizontal="center"/>
    </xf>
    <xf numFmtId="3" fontId="7" fillId="0" borderId="66" xfId="0" applyNumberFormat="1" applyFont="1" applyBorder="1"/>
    <xf numFmtId="3" fontId="13" fillId="0" borderId="29" xfId="0" applyNumberFormat="1" applyFont="1" applyBorder="1" applyAlignment="1">
      <alignment horizontal="right" vertical="center" wrapText="1"/>
    </xf>
    <xf numFmtId="3" fontId="8" fillId="0" borderId="54" xfId="0" applyNumberFormat="1" applyFont="1" applyBorder="1"/>
    <xf numFmtId="0" fontId="7" fillId="0" borderId="20" xfId="0" applyFont="1" applyBorder="1"/>
    <xf numFmtId="9" fontId="8" fillId="0" borderId="28" xfId="0" applyNumberFormat="1" applyFont="1" applyBorder="1" applyAlignment="1">
      <alignment horizontal="center" vertical="center" wrapText="1"/>
    </xf>
    <xf numFmtId="166" fontId="7" fillId="0" borderId="28" xfId="0" applyNumberFormat="1" applyFont="1" applyBorder="1"/>
    <xf numFmtId="167" fontId="7" fillId="0" borderId="53" xfId="0" applyNumberFormat="1" applyFont="1" applyBorder="1" applyAlignment="1">
      <alignment horizontal="right"/>
    </xf>
    <xf numFmtId="49" fontId="8" fillId="0" borderId="64" xfId="0" applyNumberFormat="1" applyFont="1" applyFill="1" applyBorder="1" applyAlignment="1">
      <alignment horizontal="center"/>
    </xf>
    <xf numFmtId="0" fontId="8" fillId="0" borderId="44" xfId="0" applyFont="1" applyFill="1" applyBorder="1" applyAlignment="1">
      <alignment horizontal="center"/>
    </xf>
    <xf numFmtId="165" fontId="7" fillId="0" borderId="66" xfId="0" applyNumberFormat="1" applyFont="1" applyFill="1" applyBorder="1" applyAlignment="1">
      <alignment horizontal="right"/>
    </xf>
    <xf numFmtId="165" fontId="7" fillId="0" borderId="29" xfId="0" applyNumberFormat="1" applyFont="1" applyFill="1" applyBorder="1" applyAlignment="1">
      <alignment horizontal="right"/>
    </xf>
    <xf numFmtId="3" fontId="8" fillId="0" borderId="29" xfId="0" applyNumberFormat="1" applyFont="1" applyFill="1" applyBorder="1"/>
    <xf numFmtId="49" fontId="8" fillId="0" borderId="63" xfId="0" applyNumberFormat="1" applyFont="1" applyBorder="1" applyAlignment="1">
      <alignment horizontal="center"/>
    </xf>
    <xf numFmtId="49" fontId="8" fillId="0" borderId="64" xfId="0" applyNumberFormat="1" applyFont="1" applyBorder="1" applyAlignment="1">
      <alignment horizontal="center"/>
    </xf>
    <xf numFmtId="0" fontId="8" fillId="0" borderId="28" xfId="0" applyFont="1" applyBorder="1" applyAlignment="1">
      <alignment horizontal="center"/>
    </xf>
    <xf numFmtId="0" fontId="8" fillId="0" borderId="29" xfId="0" applyFont="1" applyFill="1" applyBorder="1" applyAlignment="1">
      <alignment horizontal="center"/>
    </xf>
    <xf numFmtId="49" fontId="8" fillId="0" borderId="43" xfId="0" applyNumberFormat="1" applyFont="1" applyBorder="1" applyAlignment="1">
      <alignment horizontal="center"/>
    </xf>
    <xf numFmtId="0" fontId="8" fillId="0" borderId="10" xfId="0" applyFont="1" applyBorder="1" applyAlignment="1">
      <alignment horizontal="center" vertical="center"/>
    </xf>
    <xf numFmtId="49" fontId="8" fillId="0" borderId="44" xfId="0" applyNumberFormat="1" applyFont="1" applyFill="1" applyBorder="1" applyAlignment="1">
      <alignment horizontal="center"/>
    </xf>
    <xf numFmtId="0" fontId="8" fillId="0" borderId="29" xfId="0" applyFont="1" applyFill="1" applyBorder="1" applyAlignment="1">
      <alignment horizontal="center" wrapText="1"/>
    </xf>
    <xf numFmtId="49" fontId="8" fillId="0" borderId="42" xfId="0" applyNumberFormat="1" applyFont="1" applyBorder="1" applyAlignment="1">
      <alignment horizontal="center"/>
    </xf>
    <xf numFmtId="0" fontId="8" fillId="0" borderId="5" xfId="0" applyFont="1" applyFill="1" applyBorder="1" applyAlignment="1">
      <alignment horizontal="center" vertical="center"/>
    </xf>
    <xf numFmtId="49" fontId="8" fillId="0" borderId="10" xfId="0" applyNumberFormat="1" applyFont="1" applyFill="1" applyBorder="1" applyAlignment="1">
      <alignment horizontal="center"/>
    </xf>
    <xf numFmtId="49" fontId="8" fillId="0" borderId="62" xfId="0" applyNumberFormat="1" applyFont="1" applyFill="1" applyBorder="1" applyAlignment="1">
      <alignment horizontal="center"/>
    </xf>
    <xf numFmtId="0" fontId="8" fillId="0" borderId="25" xfId="0" applyFont="1" applyFill="1" applyBorder="1" applyAlignment="1">
      <alignment horizontal="center" vertical="center"/>
    </xf>
    <xf numFmtId="49" fontId="8" fillId="0" borderId="46" xfId="0" applyNumberFormat="1" applyFont="1" applyBorder="1" applyAlignment="1">
      <alignment horizontal="center"/>
    </xf>
    <xf numFmtId="49" fontId="8" fillId="0" borderId="47" xfId="0" applyNumberFormat="1" applyFont="1" applyFill="1" applyBorder="1" applyAlignment="1">
      <alignment horizontal="center"/>
    </xf>
    <xf numFmtId="167" fontId="7" fillId="0" borderId="71" xfId="0" applyNumberFormat="1" applyFont="1" applyFill="1" applyBorder="1"/>
    <xf numFmtId="4" fontId="7" fillId="0" borderId="66" xfId="0" applyNumberFormat="1" applyFont="1" applyFill="1" applyBorder="1"/>
    <xf numFmtId="4" fontId="7" fillId="0" borderId="29" xfId="0" applyNumberFormat="1" applyFont="1" applyFill="1" applyBorder="1"/>
    <xf numFmtId="3" fontId="8" fillId="0" borderId="28" xfId="0" applyNumberFormat="1" applyFont="1" applyFill="1" applyBorder="1"/>
    <xf numFmtId="167" fontId="8" fillId="0" borderId="8" xfId="0" applyNumberFormat="1" applyFont="1" applyFill="1" applyBorder="1"/>
    <xf numFmtId="3" fontId="8" fillId="0" borderId="53" xfId="0" applyNumberFormat="1" applyFont="1" applyFill="1" applyBorder="1"/>
    <xf numFmtId="3" fontId="7" fillId="0" borderId="73" xfId="0" applyNumberFormat="1" applyFont="1" applyFill="1" applyBorder="1"/>
    <xf numFmtId="164" fontId="8" fillId="0" borderId="56" xfId="1" applyNumberFormat="1" applyFont="1" applyFill="1" applyBorder="1" applyAlignment="1">
      <alignment horizontal="center"/>
    </xf>
    <xf numFmtId="0" fontId="7" fillId="0" borderId="45" xfId="0" applyFont="1" applyBorder="1" applyAlignment="1">
      <alignment horizontal="center" vertical="center"/>
    </xf>
    <xf numFmtId="0" fontId="8" fillId="0" borderId="45" xfId="0" applyFont="1" applyFill="1" applyBorder="1" applyAlignment="1">
      <alignment horizontal="center" vertical="center"/>
    </xf>
    <xf numFmtId="0" fontId="7" fillId="0" borderId="45" xfId="0" applyFont="1" applyFill="1" applyBorder="1" applyAlignment="1">
      <alignment horizontal="center" vertical="center"/>
    </xf>
    <xf numFmtId="0" fontId="7" fillId="0" borderId="67" xfId="0" applyFont="1" applyFill="1" applyBorder="1" applyAlignment="1">
      <alignment horizontal="center" vertical="center"/>
    </xf>
    <xf numFmtId="0" fontId="7" fillId="0" borderId="61" xfId="0" applyFont="1" applyBorder="1" applyAlignment="1">
      <alignment horizontal="center" vertical="center"/>
    </xf>
    <xf numFmtId="0" fontId="10" fillId="0" borderId="24" xfId="0" applyFont="1" applyFill="1" applyBorder="1" applyAlignment="1">
      <alignment horizontal="center"/>
    </xf>
    <xf numFmtId="0" fontId="10" fillId="0" borderId="5" xfId="0" applyFont="1" applyFill="1" applyBorder="1" applyAlignment="1">
      <alignment horizontal="center"/>
    </xf>
    <xf numFmtId="0" fontId="10" fillId="0" borderId="28" xfId="0" applyFont="1" applyFill="1" applyBorder="1" applyAlignment="1">
      <alignment horizontal="center"/>
    </xf>
    <xf numFmtId="0" fontId="10" fillId="0" borderId="8" xfId="0" applyFont="1" applyFill="1" applyBorder="1" applyAlignment="1">
      <alignment horizontal="center"/>
    </xf>
    <xf numFmtId="9" fontId="10" fillId="0" borderId="8" xfId="0" applyNumberFormat="1" applyFont="1" applyFill="1" applyBorder="1" applyAlignment="1">
      <alignment horizontal="center"/>
    </xf>
    <xf numFmtId="49" fontId="10" fillId="0" borderId="34" xfId="0" applyNumberFormat="1" applyFont="1" applyFill="1" applyBorder="1" applyAlignment="1">
      <alignment horizontal="center"/>
    </xf>
    <xf numFmtId="49" fontId="10" fillId="0" borderId="36" xfId="0" applyNumberFormat="1" applyFont="1" applyFill="1" applyBorder="1" applyAlignment="1">
      <alignment horizontal="center"/>
    </xf>
    <xf numFmtId="49" fontId="10" fillId="0" borderId="37" xfId="0" applyNumberFormat="1" applyFont="1" applyFill="1" applyBorder="1" applyAlignment="1">
      <alignment horizontal="center"/>
    </xf>
    <xf numFmtId="3" fontId="10" fillId="0" borderId="28" xfId="0" applyNumberFormat="1" applyFont="1" applyFill="1" applyBorder="1" applyAlignment="1">
      <alignment horizontal="center"/>
    </xf>
    <xf numFmtId="4" fontId="10" fillId="0" borderId="8" xfId="0" applyNumberFormat="1" applyFont="1" applyFill="1" applyBorder="1" applyAlignment="1">
      <alignment horizontal="center" vertical="center" wrapText="1"/>
    </xf>
    <xf numFmtId="0" fontId="10" fillId="0" borderId="36" xfId="0" applyFont="1" applyFill="1" applyBorder="1" applyAlignment="1">
      <alignment horizontal="center"/>
    </xf>
    <xf numFmtId="49" fontId="16" fillId="0" borderId="36" xfId="0" applyNumberFormat="1" applyFont="1" applyFill="1" applyBorder="1" applyAlignment="1">
      <alignment horizontal="center" vertical="center" wrapText="1"/>
    </xf>
    <xf numFmtId="49" fontId="16" fillId="0" borderId="37" xfId="0" applyNumberFormat="1" applyFont="1" applyFill="1" applyBorder="1" applyAlignment="1">
      <alignment horizontal="center" vertical="center" wrapText="1"/>
    </xf>
    <xf numFmtId="164" fontId="5" fillId="0" borderId="53" xfId="1" applyNumberFormat="1" applyFont="1" applyFill="1" applyBorder="1" applyAlignment="1">
      <alignment horizontal="center"/>
    </xf>
    <xf numFmtId="165" fontId="5" fillId="0" borderId="54" xfId="1" applyNumberFormat="1" applyFont="1" applyFill="1" applyBorder="1"/>
    <xf numFmtId="167" fontId="0" fillId="0" borderId="0" xfId="0" applyNumberFormat="1" applyFill="1" applyBorder="1"/>
    <xf numFmtId="0" fontId="35" fillId="0" borderId="0" xfId="0" applyFont="1" applyFill="1"/>
    <xf numFmtId="0" fontId="35" fillId="0" borderId="0" xfId="0" applyFont="1" applyFill="1" applyAlignment="1">
      <alignment horizontal="center"/>
    </xf>
    <xf numFmtId="4" fontId="35" fillId="0" borderId="0" xfId="0" applyNumberFormat="1" applyFont="1" applyFill="1" applyAlignment="1">
      <alignment horizontal="center"/>
    </xf>
    <xf numFmtId="0" fontId="19" fillId="0" borderId="0" xfId="0" applyFont="1" applyFill="1"/>
    <xf numFmtId="0" fontId="19" fillId="0" borderId="0" xfId="0" applyFont="1"/>
    <xf numFmtId="0" fontId="35" fillId="0" borderId="0" xfId="0" applyFont="1" applyBorder="1" applyAlignment="1">
      <alignment horizontal="center" vertical="center"/>
    </xf>
    <xf numFmtId="0" fontId="19" fillId="0" borderId="0" xfId="0" applyFont="1" applyAlignment="1"/>
    <xf numFmtId="0" fontId="18" fillId="0" borderId="0" xfId="0" applyFont="1"/>
    <xf numFmtId="0" fontId="18" fillId="0" borderId="0" xfId="0" applyFont="1" applyAlignment="1"/>
    <xf numFmtId="0" fontId="18" fillId="0" borderId="0" xfId="0" applyFont="1" applyFill="1"/>
    <xf numFmtId="0" fontId="37" fillId="0" borderId="0" xfId="0" applyFont="1" applyFill="1" applyAlignment="1"/>
    <xf numFmtId="0" fontId="36" fillId="0" borderId="0" xfId="0" applyFont="1" applyFill="1" applyBorder="1" applyAlignment="1">
      <alignment horizontal="left"/>
    </xf>
    <xf numFmtId="0" fontId="18" fillId="0" borderId="0" xfId="0" applyFont="1" applyBorder="1" applyAlignment="1">
      <alignment vertical="center"/>
    </xf>
    <xf numFmtId="2" fontId="0" fillId="0" borderId="23" xfId="0" applyNumberFormat="1" applyBorder="1"/>
    <xf numFmtId="0" fontId="38" fillId="0" borderId="0" xfId="0" applyFont="1" applyAlignment="1"/>
    <xf numFmtId="0" fontId="38" fillId="0" borderId="0" xfId="0" applyFont="1"/>
    <xf numFmtId="170" fontId="38" fillId="0" borderId="0" xfId="0" applyNumberFormat="1" applyFont="1" applyFill="1"/>
    <xf numFmtId="0" fontId="38" fillId="0" borderId="0" xfId="0" applyFont="1" applyFill="1"/>
    <xf numFmtId="4" fontId="38" fillId="0" borderId="0" xfId="0" applyNumberFormat="1" applyFont="1"/>
    <xf numFmtId="4" fontId="38" fillId="0" borderId="0" xfId="0" applyNumberFormat="1" applyFont="1" applyFill="1"/>
    <xf numFmtId="0" fontId="18" fillId="0" borderId="0" xfId="0" applyFont="1" applyAlignment="1">
      <alignment vertical="justify"/>
    </xf>
    <xf numFmtId="0" fontId="18" fillId="0" borderId="0" xfId="0" applyFont="1" applyAlignment="1">
      <alignment vertical="center" wrapText="1"/>
    </xf>
    <xf numFmtId="165" fontId="38" fillId="0" borderId="0" xfId="0" applyNumberFormat="1" applyFont="1" applyAlignment="1">
      <alignment vertical="center" wrapText="1"/>
    </xf>
    <xf numFmtId="0" fontId="18" fillId="0" borderId="0" xfId="0" applyFont="1" applyAlignment="1">
      <alignment horizontal="left" vertical="justify"/>
    </xf>
    <xf numFmtId="49" fontId="8" fillId="0" borderId="36" xfId="0" applyNumberFormat="1" applyFont="1" applyFill="1" applyBorder="1" applyAlignment="1">
      <alignment horizontal="center" vertical="justify"/>
    </xf>
    <xf numFmtId="49" fontId="8" fillId="0" borderId="37" xfId="0" applyNumberFormat="1" applyFont="1" applyFill="1" applyBorder="1" applyAlignment="1">
      <alignment horizontal="center" vertical="justify"/>
    </xf>
    <xf numFmtId="49" fontId="8" fillId="0" borderId="34" xfId="0" applyNumberFormat="1" applyFont="1" applyBorder="1" applyAlignment="1">
      <alignment horizontal="center" vertical="center" wrapText="1"/>
    </xf>
    <xf numFmtId="49" fontId="8" fillId="0" borderId="36" xfId="0" applyNumberFormat="1" applyFont="1" applyBorder="1" applyAlignment="1">
      <alignment horizontal="center" vertical="center" wrapText="1"/>
    </xf>
    <xf numFmtId="0" fontId="8" fillId="0" borderId="37" xfId="0" applyFont="1" applyBorder="1" applyAlignment="1">
      <alignment horizontal="center" vertical="center" wrapText="1"/>
    </xf>
    <xf numFmtId="49" fontId="8" fillId="0" borderId="37" xfId="0" applyNumberFormat="1" applyFont="1" applyBorder="1" applyAlignment="1">
      <alignment horizontal="center" vertical="center" wrapText="1"/>
    </xf>
    <xf numFmtId="0" fontId="41" fillId="0" borderId="0" xfId="2" applyFont="1" applyFill="1" applyBorder="1"/>
    <xf numFmtId="0" fontId="41" fillId="0" borderId="0" xfId="2" applyFont="1"/>
    <xf numFmtId="0" fontId="42" fillId="0" borderId="0" xfId="2" applyFont="1"/>
    <xf numFmtId="0" fontId="43" fillId="0" borderId="0" xfId="3" applyFont="1" applyFill="1" applyBorder="1"/>
    <xf numFmtId="0" fontId="43" fillId="0" borderId="0" xfId="3" applyFont="1"/>
    <xf numFmtId="0" fontId="43" fillId="0" borderId="0" xfId="2" applyFont="1" applyFill="1" applyBorder="1"/>
    <xf numFmtId="49" fontId="8" fillId="0" borderId="8" xfId="0" applyNumberFormat="1" applyFont="1" applyBorder="1" applyAlignment="1">
      <alignment horizontal="center" vertical="justify" wrapText="1"/>
    </xf>
    <xf numFmtId="10" fontId="0" fillId="0" borderId="0" xfId="0" applyNumberFormat="1"/>
    <xf numFmtId="3" fontId="7" fillId="0" borderId="4" xfId="0" applyNumberFormat="1" applyFont="1" applyFill="1" applyBorder="1"/>
    <xf numFmtId="0" fontId="7" fillId="0" borderId="0" xfId="0" applyFont="1" applyFill="1" applyBorder="1" applyAlignment="1">
      <alignment horizontal="left"/>
    </xf>
    <xf numFmtId="0" fontId="7" fillId="0" borderId="69" xfId="0" applyFont="1" applyFill="1" applyBorder="1" applyAlignment="1">
      <alignment horizontal="right"/>
    </xf>
    <xf numFmtId="0" fontId="7" fillId="0" borderId="0" xfId="0" applyFont="1" applyFill="1" applyBorder="1" applyAlignment="1">
      <alignment horizontal="right"/>
    </xf>
    <xf numFmtId="0" fontId="7" fillId="0" borderId="9" xfId="0" applyFont="1" applyFill="1" applyBorder="1" applyAlignment="1">
      <alignment horizontal="left"/>
    </xf>
    <xf numFmtId="4" fontId="7" fillId="0" borderId="30" xfId="0" applyNumberFormat="1" applyFont="1" applyFill="1" applyBorder="1" applyAlignment="1">
      <alignment horizontal="right"/>
    </xf>
    <xf numFmtId="0" fontId="7" fillId="0" borderId="20" xfId="0" applyFont="1" applyFill="1" applyBorder="1" applyAlignment="1">
      <alignment horizontal="left"/>
    </xf>
    <xf numFmtId="0" fontId="7" fillId="0" borderId="56" xfId="0" applyFont="1" applyFill="1" applyBorder="1" applyAlignment="1">
      <alignment horizontal="left"/>
    </xf>
    <xf numFmtId="0" fontId="7" fillId="0" borderId="21" xfId="0" applyFont="1" applyFill="1" applyBorder="1" applyAlignment="1">
      <alignment horizontal="left"/>
    </xf>
    <xf numFmtId="4" fontId="7" fillId="0" borderId="21" xfId="0" applyNumberFormat="1" applyFont="1" applyFill="1" applyBorder="1" applyAlignment="1">
      <alignment horizontal="right"/>
    </xf>
    <xf numFmtId="0" fontId="11" fillId="0" borderId="55" xfId="0" applyFont="1" applyFill="1" applyBorder="1" applyAlignment="1">
      <alignment horizontal="center"/>
    </xf>
    <xf numFmtId="0" fontId="11" fillId="0" borderId="57" xfId="0" applyFont="1" applyFill="1" applyBorder="1" applyAlignment="1">
      <alignment horizontal="center"/>
    </xf>
    <xf numFmtId="49" fontId="11" fillId="0" borderId="57" xfId="0" applyNumberFormat="1" applyFont="1" applyFill="1" applyBorder="1" applyAlignment="1">
      <alignment horizontal="center"/>
    </xf>
    <xf numFmtId="9" fontId="11" fillId="0" borderId="57" xfId="0" applyNumberFormat="1" applyFont="1" applyFill="1" applyBorder="1" applyAlignment="1">
      <alignment horizontal="center"/>
    </xf>
    <xf numFmtId="49" fontId="11" fillId="0" borderId="31" xfId="0" applyNumberFormat="1" applyFont="1" applyFill="1" applyBorder="1" applyAlignment="1">
      <alignment horizontal="center"/>
    </xf>
    <xf numFmtId="49" fontId="11" fillId="0" borderId="59" xfId="0" applyNumberFormat="1" applyFont="1" applyFill="1" applyBorder="1" applyAlignment="1">
      <alignment horizontal="center"/>
    </xf>
    <xf numFmtId="49" fontId="11" fillId="0" borderId="22" xfId="0" applyNumberFormat="1" applyFont="1" applyFill="1" applyBorder="1" applyAlignment="1">
      <alignment horizontal="center"/>
    </xf>
    <xf numFmtId="49" fontId="11" fillId="0" borderId="40" xfId="0" applyNumberFormat="1" applyFont="1" applyFill="1" applyBorder="1" applyAlignment="1">
      <alignment horizontal="center"/>
    </xf>
    <xf numFmtId="0" fontId="7" fillId="0" borderId="23" xfId="0" applyFont="1" applyFill="1" applyBorder="1"/>
    <xf numFmtId="164" fontId="7" fillId="0" borderId="23" xfId="1" applyNumberFormat="1" applyFont="1" applyFill="1" applyBorder="1" applyAlignment="1">
      <alignment horizontal="center"/>
    </xf>
    <xf numFmtId="41" fontId="7" fillId="0" borderId="57" xfId="1" applyNumberFormat="1" applyFont="1" applyFill="1" applyBorder="1"/>
    <xf numFmtId="167" fontId="7" fillId="0" borderId="0" xfId="0" applyNumberFormat="1" applyFont="1" applyFill="1" applyBorder="1" applyAlignment="1">
      <alignment horizontal="right" vertical="center"/>
    </xf>
    <xf numFmtId="167" fontId="7" fillId="0" borderId="57" xfId="0" applyNumberFormat="1" applyFont="1" applyFill="1" applyBorder="1" applyAlignment="1">
      <alignment horizontal="right" vertical="center"/>
    </xf>
    <xf numFmtId="167" fontId="7" fillId="0" borderId="23" xfId="0" applyNumberFormat="1" applyFont="1" applyFill="1" applyBorder="1" applyAlignment="1">
      <alignment horizontal="right" vertical="center"/>
    </xf>
    <xf numFmtId="167" fontId="7" fillId="0" borderId="55" xfId="0" applyNumberFormat="1" applyFont="1" applyFill="1" applyBorder="1" applyAlignment="1">
      <alignment horizontal="right" vertical="center"/>
    </xf>
    <xf numFmtId="167" fontId="7" fillId="0" borderId="30" xfId="0" applyNumberFormat="1" applyFont="1" applyFill="1" applyBorder="1"/>
    <xf numFmtId="167" fontId="7" fillId="0" borderId="57" xfId="0" applyNumberFormat="1" applyFont="1" applyFill="1" applyBorder="1"/>
    <xf numFmtId="3" fontId="7" fillId="0" borderId="57" xfId="0" applyNumberFormat="1" applyFont="1" applyFill="1" applyBorder="1"/>
    <xf numFmtId="41" fontId="7" fillId="0" borderId="59" xfId="1" applyNumberFormat="1" applyFont="1" applyFill="1" applyBorder="1"/>
    <xf numFmtId="0" fontId="8" fillId="0" borderId="20" xfId="0" applyFont="1" applyFill="1" applyBorder="1"/>
    <xf numFmtId="164" fontId="8" fillId="0" borderId="49" xfId="1" applyNumberFormat="1" applyFont="1" applyFill="1" applyBorder="1" applyAlignment="1">
      <alignment horizontal="center"/>
    </xf>
    <xf numFmtId="167" fontId="8" fillId="0" borderId="56" xfId="0" applyNumberFormat="1" applyFont="1" applyFill="1" applyBorder="1" applyAlignment="1">
      <alignment horizontal="right" vertical="center"/>
    </xf>
    <xf numFmtId="167" fontId="8" fillId="0" borderId="49" xfId="0" applyNumberFormat="1" applyFont="1" applyFill="1" applyBorder="1" applyAlignment="1">
      <alignment horizontal="right" vertical="center"/>
    </xf>
    <xf numFmtId="167" fontId="8" fillId="0" borderId="20" xfId="0" applyNumberFormat="1" applyFont="1" applyFill="1" applyBorder="1" applyAlignment="1">
      <alignment horizontal="right" vertical="center"/>
    </xf>
    <xf numFmtId="167" fontId="8" fillId="0" borderId="21" xfId="0" applyNumberFormat="1" applyFont="1" applyFill="1" applyBorder="1"/>
    <xf numFmtId="167" fontId="8" fillId="0" borderId="49" xfId="0" applyNumberFormat="1" applyFont="1" applyFill="1" applyBorder="1"/>
    <xf numFmtId="3" fontId="8" fillId="0" borderId="49" xfId="0" applyNumberFormat="1" applyFont="1" applyFill="1" applyBorder="1"/>
    <xf numFmtId="0" fontId="18" fillId="0" borderId="0" xfId="0" applyFont="1" applyAlignment="1">
      <alignment vertical="top"/>
    </xf>
    <xf numFmtId="173" fontId="0" fillId="0" borderId="0" xfId="0" applyNumberFormat="1" applyFill="1"/>
    <xf numFmtId="0" fontId="0" fillId="0" borderId="0" xfId="0" applyFill="1" applyAlignment="1">
      <alignment horizontal="center"/>
    </xf>
    <xf numFmtId="4" fontId="7" fillId="0" borderId="69" xfId="0" applyNumberFormat="1" applyFont="1" applyFill="1" applyBorder="1" applyAlignment="1"/>
    <xf numFmtId="4" fontId="7" fillId="0" borderId="0" xfId="0" applyNumberFormat="1" applyFont="1" applyFill="1" applyBorder="1" applyAlignment="1"/>
    <xf numFmtId="4" fontId="8" fillId="0" borderId="69" xfId="0" applyNumberFormat="1" applyFont="1" applyFill="1" applyBorder="1" applyAlignment="1"/>
    <xf numFmtId="4" fontId="8" fillId="0" borderId="0" xfId="0" applyNumberFormat="1" applyFont="1" applyFill="1" applyBorder="1" applyAlignment="1"/>
    <xf numFmtId="3" fontId="17" fillId="0" borderId="4" xfId="0" applyNumberFormat="1" applyFont="1" applyBorder="1"/>
    <xf numFmtId="4" fontId="7" fillId="0" borderId="69" xfId="0" applyNumberFormat="1" applyFont="1" applyFill="1" applyBorder="1" applyAlignment="1">
      <alignment horizontal="right"/>
    </xf>
    <xf numFmtId="1" fontId="10" fillId="0" borderId="8" xfId="0" applyNumberFormat="1" applyFont="1" applyFill="1" applyBorder="1" applyAlignment="1">
      <alignment horizontal="center"/>
    </xf>
    <xf numFmtId="9" fontId="7" fillId="0" borderId="69" xfId="0" applyNumberFormat="1" applyFont="1" applyFill="1" applyBorder="1" applyAlignment="1">
      <alignment horizontal="right"/>
    </xf>
    <xf numFmtId="4" fontId="12" fillId="0" borderId="0" xfId="0" applyNumberFormat="1" applyFont="1" applyFill="1" applyBorder="1" applyAlignment="1">
      <alignment horizontal="right"/>
    </xf>
    <xf numFmtId="9" fontId="7" fillId="0" borderId="69" xfId="0" applyNumberFormat="1" applyFont="1" applyFill="1" applyBorder="1" applyAlignment="1">
      <alignment horizontal="left"/>
    </xf>
    <xf numFmtId="0" fontId="7" fillId="0" borderId="70" xfId="0" applyFont="1" applyBorder="1" applyAlignment="1">
      <alignment horizontal="center" vertical="center"/>
    </xf>
    <xf numFmtId="0" fontId="7" fillId="0" borderId="28" xfId="0" applyFont="1" applyBorder="1" applyAlignment="1">
      <alignment horizontal="center" vertical="center"/>
    </xf>
    <xf numFmtId="0" fontId="7" fillId="0" borderId="39" xfId="0" applyFont="1" applyFill="1" applyBorder="1" applyAlignment="1">
      <alignment horizontal="right"/>
    </xf>
    <xf numFmtId="0" fontId="7" fillId="0" borderId="22" xfId="0" applyFont="1" applyFill="1" applyBorder="1" applyAlignment="1">
      <alignment horizontal="right"/>
    </xf>
    <xf numFmtId="4" fontId="7" fillId="0" borderId="40" xfId="0" applyNumberFormat="1" applyFont="1" applyFill="1" applyBorder="1" applyAlignment="1">
      <alignment horizontal="right"/>
    </xf>
    <xf numFmtId="0" fontId="7" fillId="0" borderId="31" xfId="0" applyFont="1" applyFill="1" applyBorder="1" applyAlignment="1">
      <alignment horizontal="center" vertical="center"/>
    </xf>
    <xf numFmtId="0" fontId="7" fillId="7" borderId="20" xfId="0" applyFont="1" applyFill="1" applyBorder="1" applyAlignment="1">
      <alignment horizontal="right"/>
    </xf>
    <xf numFmtId="0" fontId="7" fillId="7" borderId="56" xfId="0" applyFont="1" applyFill="1" applyBorder="1" applyAlignment="1">
      <alignment horizontal="right"/>
    </xf>
    <xf numFmtId="4" fontId="8" fillId="7" borderId="21" xfId="0" applyNumberFormat="1" applyFont="1" applyFill="1" applyBorder="1" applyAlignment="1">
      <alignment horizontal="right"/>
    </xf>
    <xf numFmtId="0" fontId="8" fillId="0" borderId="73" xfId="0" applyFont="1" applyFill="1" applyBorder="1" applyAlignment="1">
      <alignment horizontal="center"/>
    </xf>
    <xf numFmtId="0" fontId="8" fillId="0" borderId="14" xfId="0" applyFont="1" applyFill="1" applyBorder="1" applyAlignment="1">
      <alignment horizontal="center"/>
    </xf>
    <xf numFmtId="0" fontId="8" fillId="0" borderId="72" xfId="0" applyFont="1" applyFill="1" applyBorder="1" applyAlignment="1">
      <alignment horizontal="center"/>
    </xf>
    <xf numFmtId="0" fontId="7" fillId="0" borderId="73" xfId="0" applyFont="1" applyFill="1" applyBorder="1" applyAlignment="1">
      <alignment horizontal="right"/>
    </xf>
    <xf numFmtId="0" fontId="7" fillId="0" borderId="14" xfId="0" applyFont="1" applyFill="1" applyBorder="1" applyAlignment="1">
      <alignment horizontal="right"/>
    </xf>
    <xf numFmtId="0" fontId="7" fillId="0" borderId="58" xfId="0" applyFont="1" applyFill="1" applyBorder="1" applyAlignment="1">
      <alignment horizontal="right"/>
    </xf>
    <xf numFmtId="4" fontId="8" fillId="0" borderId="30" xfId="0" applyNumberFormat="1" applyFont="1" applyFill="1" applyBorder="1" applyAlignment="1">
      <alignment horizontal="right"/>
    </xf>
    <xf numFmtId="0" fontId="7" fillId="0" borderId="31" xfId="0" applyFont="1" applyBorder="1" applyAlignment="1">
      <alignment horizontal="center" vertical="center"/>
    </xf>
    <xf numFmtId="0" fontId="7" fillId="0" borderId="56" xfId="0" applyFont="1" applyFill="1" applyBorder="1" applyAlignment="1">
      <alignment horizontal="right"/>
    </xf>
    <xf numFmtId="4" fontId="8" fillId="0" borderId="21" xfId="0" applyNumberFormat="1" applyFont="1" applyFill="1" applyBorder="1" applyAlignment="1">
      <alignment horizontal="right"/>
    </xf>
    <xf numFmtId="0" fontId="7" fillId="7" borderId="20" xfId="0" applyFont="1" applyFill="1" applyBorder="1" applyAlignment="1">
      <alignment horizontal="left"/>
    </xf>
    <xf numFmtId="0" fontId="7" fillId="7" borderId="56" xfId="0" applyFont="1" applyFill="1" applyBorder="1" applyAlignment="1">
      <alignment horizontal="left"/>
    </xf>
    <xf numFmtId="0" fontId="7" fillId="7" borderId="21" xfId="0" applyFont="1" applyFill="1" applyBorder="1" applyAlignment="1">
      <alignment horizontal="left"/>
    </xf>
    <xf numFmtId="4" fontId="8" fillId="0" borderId="30" xfId="0" applyNumberFormat="1" applyFont="1" applyFill="1" applyBorder="1" applyAlignment="1"/>
    <xf numFmtId="0" fontId="7" fillId="0" borderId="20" xfId="0" applyFont="1" applyFill="1" applyBorder="1" applyAlignment="1">
      <alignment horizontal="right"/>
    </xf>
    <xf numFmtId="0" fontId="7" fillId="0" borderId="14" xfId="0" applyFont="1" applyFill="1" applyBorder="1" applyAlignment="1">
      <alignment horizontal="left"/>
    </xf>
    <xf numFmtId="4" fontId="7" fillId="0" borderId="30" xfId="0" applyNumberFormat="1" applyFont="1" applyFill="1" applyBorder="1" applyAlignment="1"/>
    <xf numFmtId="4" fontId="8" fillId="0" borderId="30" xfId="0" applyNumberFormat="1" applyFont="1" applyBorder="1"/>
    <xf numFmtId="0" fontId="7" fillId="0" borderId="13" xfId="0" applyFont="1" applyBorder="1" applyAlignment="1">
      <alignment horizontal="center" vertical="center"/>
    </xf>
    <xf numFmtId="0" fontId="7" fillId="0" borderId="73" xfId="0" applyFont="1" applyFill="1" applyBorder="1" applyAlignment="1">
      <alignment horizontal="left"/>
    </xf>
    <xf numFmtId="0" fontId="7" fillId="0" borderId="72" xfId="0" applyFont="1" applyFill="1" applyBorder="1" applyAlignment="1">
      <alignment horizontal="left"/>
    </xf>
    <xf numFmtId="0" fontId="7" fillId="0" borderId="23" xfId="0" applyFont="1" applyBorder="1" applyAlignment="1">
      <alignment horizontal="center" vertical="center"/>
    </xf>
    <xf numFmtId="0" fontId="7" fillId="0" borderId="10" xfId="0" applyFont="1" applyBorder="1" applyAlignment="1">
      <alignment horizontal="center" vertical="center"/>
    </xf>
    <xf numFmtId="0" fontId="7" fillId="0" borderId="23" xfId="0" applyFont="1" applyFill="1" applyBorder="1" applyAlignment="1">
      <alignment horizontal="center" vertical="center"/>
    </xf>
    <xf numFmtId="0" fontId="7" fillId="0" borderId="13" xfId="0" applyFont="1" applyFill="1" applyBorder="1" applyAlignment="1">
      <alignment horizontal="center" vertical="center"/>
    </xf>
    <xf numFmtId="165" fontId="8" fillId="0" borderId="59" xfId="1" applyNumberFormat="1" applyFont="1" applyFill="1" applyBorder="1"/>
    <xf numFmtId="4" fontId="0" fillId="0" borderId="0" xfId="0" applyNumberFormat="1" applyBorder="1"/>
    <xf numFmtId="4" fontId="18" fillId="0" borderId="0" xfId="0" applyNumberFormat="1" applyFont="1" applyBorder="1" applyAlignment="1">
      <alignment vertical="center"/>
    </xf>
    <xf numFmtId="4" fontId="7" fillId="7" borderId="20" xfId="0" applyNumberFormat="1" applyFont="1" applyFill="1" applyBorder="1" applyAlignment="1">
      <alignment horizontal="right"/>
    </xf>
    <xf numFmtId="0" fontId="8" fillId="0" borderId="37" xfId="0" applyFont="1" applyFill="1" applyBorder="1" applyAlignment="1">
      <alignment horizontal="center" vertical="center" wrapText="1"/>
    </xf>
    <xf numFmtId="0" fontId="29" fillId="0" borderId="0" xfId="4"/>
    <xf numFmtId="0" fontId="33" fillId="0" borderId="49" xfId="4" applyFont="1" applyBorder="1" applyAlignment="1">
      <alignment horizontal="center" vertical="center" wrapText="1"/>
    </xf>
    <xf numFmtId="0" fontId="33" fillId="0" borderId="56" xfId="4" applyFont="1" applyBorder="1" applyAlignment="1">
      <alignment wrapText="1"/>
    </xf>
    <xf numFmtId="0" fontId="33" fillId="0" borderId="56" xfId="4" applyFont="1" applyBorder="1" applyAlignment="1">
      <alignment horizontal="center" vertical="center" wrapText="1"/>
    </xf>
    <xf numFmtId="0" fontId="33" fillId="0" borderId="21" xfId="4" applyFont="1" applyBorder="1" applyAlignment="1">
      <alignment horizontal="center" vertical="center" wrapText="1"/>
    </xf>
    <xf numFmtId="0" fontId="33" fillId="0" borderId="57" xfId="4" applyFont="1" applyBorder="1"/>
    <xf numFmtId="167" fontId="33" fillId="0" borderId="0" xfId="4" applyNumberFormat="1" applyFont="1" applyBorder="1"/>
    <xf numFmtId="3" fontId="33" fillId="0" borderId="57" xfId="4" applyNumberFormat="1" applyFont="1" applyBorder="1"/>
    <xf numFmtId="3" fontId="33" fillId="0" borderId="30" xfId="4" applyNumberFormat="1" applyFont="1" applyBorder="1"/>
    <xf numFmtId="4" fontId="29" fillId="0" borderId="0" xfId="4" applyNumberFormat="1"/>
    <xf numFmtId="0" fontId="33" fillId="0" borderId="49" xfId="4" applyFont="1" applyBorder="1"/>
    <xf numFmtId="10" fontId="33" fillId="0" borderId="49" xfId="4" applyNumberFormat="1" applyFont="1" applyBorder="1" applyAlignment="1">
      <alignment horizontal="right"/>
    </xf>
    <xf numFmtId="3" fontId="34" fillId="0" borderId="49" xfId="4" applyNumberFormat="1" applyFont="1" applyBorder="1"/>
    <xf numFmtId="0" fontId="33" fillId="0" borderId="0" xfId="4" applyFont="1"/>
    <xf numFmtId="0" fontId="33" fillId="0" borderId="0" xfId="4" applyFont="1" applyFill="1" applyBorder="1"/>
    <xf numFmtId="4" fontId="33" fillId="0" borderId="49" xfId="4" applyNumberFormat="1" applyFont="1" applyBorder="1" applyAlignment="1">
      <alignment horizontal="right"/>
    </xf>
    <xf numFmtId="10" fontId="33" fillId="0" borderId="55" xfId="4" applyNumberFormat="1" applyFont="1" applyBorder="1" applyAlignment="1">
      <alignment horizontal="right"/>
    </xf>
    <xf numFmtId="10" fontId="33" fillId="0" borderId="57" xfId="4" applyNumberFormat="1" applyFont="1" applyBorder="1" applyAlignment="1">
      <alignment horizontal="right"/>
    </xf>
    <xf numFmtId="10" fontId="33" fillId="0" borderId="59" xfId="4" applyNumberFormat="1" applyFont="1" applyBorder="1" applyAlignment="1">
      <alignment horizontal="right"/>
    </xf>
    <xf numFmtId="10" fontId="33" fillId="8" borderId="57" xfId="4" applyNumberFormat="1" applyFont="1" applyFill="1" applyBorder="1" applyAlignment="1">
      <alignment horizontal="right"/>
    </xf>
    <xf numFmtId="4" fontId="33" fillId="0" borderId="0" xfId="4" applyNumberFormat="1" applyFont="1"/>
    <xf numFmtId="0" fontId="33" fillId="0" borderId="10" xfId="4" applyFont="1" applyBorder="1"/>
    <xf numFmtId="4" fontId="33" fillId="0" borderId="10" xfId="4" applyNumberFormat="1" applyFont="1" applyBorder="1"/>
    <xf numFmtId="0" fontId="33" fillId="0" borderId="4" xfId="4" applyFont="1" applyBorder="1"/>
    <xf numFmtId="4" fontId="33" fillId="0" borderId="4" xfId="4" applyNumberFormat="1" applyFont="1" applyBorder="1"/>
    <xf numFmtId="10" fontId="33" fillId="0" borderId="0" xfId="4" applyNumberFormat="1" applyFont="1" applyBorder="1"/>
    <xf numFmtId="10" fontId="33" fillId="0" borderId="49" xfId="4" applyNumberFormat="1" applyFont="1" applyBorder="1"/>
    <xf numFmtId="0" fontId="33" fillId="9" borderId="49" xfId="4" applyFont="1" applyFill="1" applyBorder="1" applyAlignment="1">
      <alignment horizontal="center" vertical="center" wrapText="1"/>
    </xf>
    <xf numFmtId="0" fontId="33" fillId="9" borderId="56" xfId="4" applyFont="1" applyFill="1" applyBorder="1" applyAlignment="1">
      <alignment wrapText="1"/>
    </xf>
    <xf numFmtId="0" fontId="33" fillId="9" borderId="56" xfId="4" applyFont="1" applyFill="1" applyBorder="1" applyAlignment="1">
      <alignment horizontal="center" vertical="center" wrapText="1"/>
    </xf>
    <xf numFmtId="0" fontId="33" fillId="9" borderId="21" xfId="4" applyFont="1" applyFill="1" applyBorder="1" applyAlignment="1">
      <alignment horizontal="center" vertical="center" wrapText="1"/>
    </xf>
    <xf numFmtId="167" fontId="33" fillId="0" borderId="55" xfId="4" applyNumberFormat="1" applyFont="1" applyBorder="1" applyAlignment="1">
      <alignment horizontal="right"/>
    </xf>
    <xf numFmtId="4" fontId="33" fillId="0" borderId="57" xfId="4" applyNumberFormat="1" applyFont="1" applyBorder="1"/>
    <xf numFmtId="4" fontId="33" fillId="0" borderId="0" xfId="4" applyNumberFormat="1" applyFont="1" applyBorder="1"/>
    <xf numFmtId="4" fontId="33" fillId="0" borderId="55" xfId="4" applyNumberFormat="1" applyFont="1" applyBorder="1"/>
    <xf numFmtId="4" fontId="33" fillId="0" borderId="30" xfId="4" applyNumberFormat="1" applyFont="1" applyBorder="1"/>
    <xf numFmtId="167" fontId="33" fillId="0" borderId="57" xfId="4" applyNumberFormat="1" applyFont="1" applyBorder="1" applyAlignment="1">
      <alignment horizontal="right"/>
    </xf>
    <xf numFmtId="167" fontId="33" fillId="0" borderId="59" xfId="4" applyNumberFormat="1" applyFont="1" applyBorder="1" applyAlignment="1">
      <alignment horizontal="right"/>
    </xf>
    <xf numFmtId="4" fontId="33" fillId="0" borderId="59" xfId="4" applyNumberFormat="1" applyFont="1" applyBorder="1"/>
    <xf numFmtId="167" fontId="33" fillId="0" borderId="49" xfId="4" applyNumberFormat="1" applyFont="1" applyBorder="1" applyAlignment="1">
      <alignment horizontal="right"/>
    </xf>
    <xf numFmtId="4" fontId="34" fillId="0" borderId="49" xfId="4" applyNumberFormat="1" applyFont="1" applyBorder="1"/>
    <xf numFmtId="4" fontId="31" fillId="9" borderId="4" xfId="4" applyNumberFormat="1" applyFont="1" applyFill="1" applyBorder="1"/>
    <xf numFmtId="167" fontId="44" fillId="0" borderId="4" xfId="4" applyNumberFormat="1" applyFont="1" applyBorder="1" applyAlignment="1">
      <alignment horizontal="right" vertical="center"/>
    </xf>
    <xf numFmtId="4" fontId="32" fillId="0" borderId="4" xfId="4" applyNumberFormat="1" applyFont="1" applyBorder="1"/>
    <xf numFmtId="3" fontId="33" fillId="0" borderId="49" xfId="4" applyNumberFormat="1" applyFont="1" applyBorder="1"/>
    <xf numFmtId="0" fontId="44" fillId="0" borderId="0" xfId="4" applyFont="1"/>
    <xf numFmtId="9" fontId="44" fillId="0" borderId="0" xfId="4" applyNumberFormat="1" applyFont="1"/>
    <xf numFmtId="0" fontId="33" fillId="0" borderId="56" xfId="4" applyFont="1" applyBorder="1" applyAlignment="1">
      <alignment horizontal="center" wrapText="1"/>
    </xf>
    <xf numFmtId="9" fontId="29" fillId="0" borderId="0" xfId="4" applyNumberFormat="1"/>
    <xf numFmtId="167" fontId="33" fillId="0" borderId="49" xfId="4" applyNumberFormat="1" applyFont="1" applyBorder="1"/>
    <xf numFmtId="0" fontId="31" fillId="0" borderId="13" xfId="4" applyFont="1" applyBorder="1"/>
    <xf numFmtId="0" fontId="31" fillId="0" borderId="14" xfId="4" applyFont="1" applyBorder="1"/>
    <xf numFmtId="4" fontId="34" fillId="0" borderId="58" xfId="4" applyNumberFormat="1" applyFont="1" applyBorder="1"/>
    <xf numFmtId="0" fontId="31" fillId="0" borderId="23" xfId="4" applyFont="1" applyBorder="1"/>
    <xf numFmtId="0" fontId="31" fillId="0" borderId="0" xfId="4" applyFont="1" applyBorder="1"/>
    <xf numFmtId="4" fontId="34" fillId="0" borderId="0" xfId="4" applyNumberFormat="1" applyFont="1" applyBorder="1"/>
    <xf numFmtId="4" fontId="34" fillId="0" borderId="30" xfId="4" applyNumberFormat="1" applyFont="1" applyBorder="1"/>
    <xf numFmtId="0" fontId="31" fillId="0" borderId="31" xfId="4" applyFont="1" applyBorder="1"/>
    <xf numFmtId="0" fontId="31" fillId="0" borderId="22" xfId="4" applyFont="1" applyBorder="1"/>
    <xf numFmtId="4" fontId="34" fillId="0" borderId="22" xfId="4" applyNumberFormat="1" applyFont="1" applyBorder="1"/>
    <xf numFmtId="4" fontId="34" fillId="0" borderId="40" xfId="4" applyNumberFormat="1" applyFont="1" applyBorder="1"/>
    <xf numFmtId="49" fontId="2" fillId="0" borderId="7" xfId="0" applyNumberFormat="1" applyFont="1" applyFill="1" applyBorder="1" applyAlignment="1">
      <alignment horizontal="right"/>
    </xf>
    <xf numFmtId="49" fontId="2" fillId="0" borderId="9" xfId="0" applyNumberFormat="1" applyFont="1" applyFill="1" applyBorder="1" applyAlignment="1">
      <alignment horizontal="right"/>
    </xf>
    <xf numFmtId="49" fontId="2" fillId="0" borderId="12" xfId="0" applyNumberFormat="1" applyFont="1" applyFill="1" applyBorder="1" applyAlignment="1">
      <alignment horizontal="right"/>
    </xf>
    <xf numFmtId="0" fontId="6" fillId="0" borderId="0" xfId="0" applyFont="1" applyFill="1" applyBorder="1"/>
    <xf numFmtId="49" fontId="2" fillId="0" borderId="0" xfId="0" applyNumberFormat="1" applyFont="1" applyFill="1" applyBorder="1" applyAlignment="1">
      <alignment horizontal="right"/>
    </xf>
    <xf numFmtId="49" fontId="6" fillId="0" borderId="0" xfId="0" applyNumberFormat="1" applyFont="1" applyFill="1" applyBorder="1" applyAlignment="1">
      <alignment horizontal="right"/>
    </xf>
    <xf numFmtId="49" fontId="2" fillId="0" borderId="0" xfId="0" applyNumberFormat="1" applyFont="1" applyFill="1" applyBorder="1"/>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5" xfId="0" applyFont="1" applyFill="1" applyBorder="1"/>
    <xf numFmtId="0" fontId="6" fillId="0" borderId="8" xfId="0" applyFont="1" applyFill="1" applyBorder="1"/>
    <xf numFmtId="0" fontId="2" fillId="0" borderId="8" xfId="0" applyFont="1" applyFill="1" applyBorder="1"/>
    <xf numFmtId="0" fontId="6" fillId="0" borderId="10" xfId="0" applyFont="1" applyFill="1" applyBorder="1"/>
    <xf numFmtId="49" fontId="2" fillId="0" borderId="10" xfId="0" applyNumberFormat="1" applyFont="1" applyFill="1" applyBorder="1"/>
    <xf numFmtId="49" fontId="6" fillId="0" borderId="0" xfId="0" applyNumberFormat="1" applyFont="1" applyFill="1" applyBorder="1"/>
    <xf numFmtId="0" fontId="40" fillId="0" borderId="0" xfId="0" applyFont="1"/>
    <xf numFmtId="0" fontId="11" fillId="0" borderId="0" xfId="0" applyFont="1" applyFill="1" applyBorder="1" applyAlignment="1">
      <alignment horizontal="left"/>
    </xf>
    <xf numFmtId="170" fontId="7" fillId="0" borderId="0" xfId="0" applyNumberFormat="1" applyFont="1" applyFill="1"/>
    <xf numFmtId="4" fontId="8" fillId="0" borderId="0" xfId="0" applyNumberFormat="1" applyFont="1"/>
    <xf numFmtId="4" fontId="8" fillId="0" borderId="0" xfId="0" applyNumberFormat="1" applyFont="1" applyFill="1"/>
    <xf numFmtId="0" fontId="40" fillId="0" borderId="0" xfId="0" applyFont="1" applyFill="1"/>
    <xf numFmtId="0" fontId="10" fillId="0" borderId="5" xfId="0" applyFont="1" applyBorder="1" applyAlignment="1">
      <alignment horizontal="center"/>
    </xf>
    <xf numFmtId="0" fontId="10" fillId="0" borderId="5" xfId="0" applyFont="1" applyBorder="1" applyAlignment="1">
      <alignment horizontal="center" vertical="center"/>
    </xf>
    <xf numFmtId="0" fontId="10" fillId="0" borderId="8" xfId="0" applyFont="1" applyBorder="1" applyAlignment="1">
      <alignment horizontal="center"/>
    </xf>
    <xf numFmtId="0" fontId="10" fillId="0" borderId="8" xfId="0" applyFont="1" applyBorder="1" applyAlignment="1">
      <alignment horizontal="center" vertical="center"/>
    </xf>
    <xf numFmtId="49" fontId="10" fillId="0" borderId="8" xfId="0" applyNumberFormat="1" applyFont="1" applyBorder="1" applyAlignment="1">
      <alignment horizontal="center"/>
    </xf>
    <xf numFmtId="49" fontId="10" fillId="0" borderId="10" xfId="0" applyNumberFormat="1" applyFont="1" applyBorder="1" applyAlignment="1">
      <alignment horizontal="center"/>
    </xf>
    <xf numFmtId="0" fontId="40" fillId="0" borderId="26" xfId="0" applyFont="1" applyBorder="1"/>
    <xf numFmtId="164" fontId="40" fillId="0" borderId="6" xfId="1" applyNumberFormat="1" applyFont="1" applyBorder="1" applyAlignment="1">
      <alignment horizontal="center"/>
    </xf>
    <xf numFmtId="4" fontId="40" fillId="0" borderId="6" xfId="0" applyNumberFormat="1" applyFont="1" applyBorder="1"/>
    <xf numFmtId="4" fontId="40" fillId="0" borderId="0" xfId="0" applyNumberFormat="1" applyFont="1"/>
    <xf numFmtId="4" fontId="45" fillId="0" borderId="0" xfId="0" applyNumberFormat="1" applyFont="1"/>
    <xf numFmtId="0" fontId="40" fillId="0" borderId="69" xfId="0" applyFont="1" applyBorder="1"/>
    <xf numFmtId="164" fontId="40" fillId="0" borderId="0" xfId="1" applyNumberFormat="1" applyFont="1" applyBorder="1" applyAlignment="1">
      <alignment horizontal="center"/>
    </xf>
    <xf numFmtId="4" fontId="40" fillId="0" borderId="0" xfId="0" applyNumberFormat="1" applyFont="1" applyBorder="1"/>
    <xf numFmtId="0" fontId="10" fillId="0" borderId="4" xfId="0" applyFont="1" applyBorder="1"/>
    <xf numFmtId="164" fontId="10" fillId="0" borderId="4" xfId="1" applyNumberFormat="1" applyFont="1" applyBorder="1" applyAlignment="1">
      <alignment horizontal="center"/>
    </xf>
    <xf numFmtId="4" fontId="10" fillId="0" borderId="4" xfId="0" applyNumberFormat="1" applyFont="1" applyBorder="1"/>
    <xf numFmtId="2" fontId="10" fillId="0" borderId="4" xfId="0" applyNumberFormat="1" applyFont="1" applyBorder="1"/>
    <xf numFmtId="0" fontId="31" fillId="0" borderId="0" xfId="4" applyFont="1" applyAlignment="1"/>
    <xf numFmtId="0" fontId="29" fillId="0" borderId="0" xfId="4" applyFont="1" applyAlignment="1">
      <alignment horizontal="center"/>
    </xf>
    <xf numFmtId="0" fontId="29" fillId="0" borderId="0" xfId="4" applyFill="1" applyAlignment="1">
      <alignment horizontal="center"/>
    </xf>
    <xf numFmtId="0" fontId="29" fillId="0" borderId="49" xfId="4" applyBorder="1" applyAlignment="1">
      <alignment horizontal="center"/>
    </xf>
    <xf numFmtId="0" fontId="29" fillId="0" borderId="49" xfId="4" applyFill="1" applyBorder="1" applyAlignment="1">
      <alignment horizontal="center"/>
    </xf>
    <xf numFmtId="4" fontId="29" fillId="0" borderId="49" xfId="4" applyNumberFormat="1" applyBorder="1"/>
    <xf numFmtId="4" fontId="12" fillId="0" borderId="49" xfId="5" applyNumberFormat="1" applyFont="1" applyFill="1" applyBorder="1" applyAlignment="1">
      <alignment horizontal="right" vertical="center"/>
    </xf>
    <xf numFmtId="4" fontId="29" fillId="6" borderId="0" xfId="4" applyNumberFormat="1" applyFill="1"/>
    <xf numFmtId="3" fontId="12" fillId="0" borderId="0" xfId="5" applyNumberFormat="1" applyFont="1" applyFill="1" applyBorder="1" applyAlignment="1">
      <alignment horizontal="right" vertical="center"/>
    </xf>
    <xf numFmtId="3" fontId="12" fillId="0" borderId="59" xfId="5" applyNumberFormat="1" applyFont="1" applyFill="1" applyBorder="1" applyAlignment="1">
      <alignment horizontal="right" vertical="center"/>
    </xf>
    <xf numFmtId="3" fontId="12" fillId="0" borderId="31" xfId="5" applyNumberFormat="1" applyFont="1" applyFill="1" applyBorder="1" applyAlignment="1">
      <alignment horizontal="right" vertical="center"/>
    </xf>
    <xf numFmtId="10" fontId="29" fillId="0" borderId="49" xfId="4" applyNumberFormat="1" applyBorder="1"/>
    <xf numFmtId="10" fontId="29" fillId="0" borderId="0" xfId="4" applyNumberFormat="1" applyFill="1"/>
    <xf numFmtId="10" fontId="29" fillId="0" borderId="59" xfId="4" applyNumberFormat="1" applyFill="1" applyBorder="1"/>
    <xf numFmtId="4" fontId="29" fillId="0" borderId="49" xfId="4" applyNumberFormat="1" applyFill="1" applyBorder="1"/>
    <xf numFmtId="4" fontId="29" fillId="0" borderId="0" xfId="4" applyNumberFormat="1" applyBorder="1"/>
    <xf numFmtId="4" fontId="29" fillId="0" borderId="0" xfId="4" applyNumberFormat="1" applyFill="1" applyBorder="1"/>
    <xf numFmtId="0" fontId="29" fillId="0" borderId="49" xfId="4" applyFont="1" applyBorder="1"/>
    <xf numFmtId="4" fontId="29" fillId="0" borderId="0" xfId="4" applyNumberFormat="1" applyFill="1"/>
    <xf numFmtId="0" fontId="29" fillId="0" borderId="22" xfId="4" applyBorder="1" applyAlignment="1"/>
    <xf numFmtId="0" fontId="29" fillId="0" borderId="22" xfId="4" applyFill="1" applyBorder="1" applyAlignment="1"/>
    <xf numFmtId="3" fontId="12" fillId="0" borderId="49" xfId="5" applyNumberFormat="1" applyFont="1" applyFill="1" applyBorder="1" applyAlignment="1">
      <alignment horizontal="right" vertical="center"/>
    </xf>
    <xf numFmtId="3" fontId="29" fillId="0" borderId="0" xfId="4" applyNumberFormat="1" applyFill="1" applyBorder="1"/>
    <xf numFmtId="9" fontId="29" fillId="0" borderId="0" xfId="4" applyNumberFormat="1" applyFont="1" applyBorder="1"/>
    <xf numFmtId="3" fontId="29" fillId="0" borderId="0" xfId="4" applyNumberFormat="1"/>
    <xf numFmtId="3" fontId="29" fillId="0" borderId="0" xfId="4" applyNumberFormat="1" applyBorder="1"/>
    <xf numFmtId="10" fontId="29" fillId="0" borderId="49" xfId="4" applyNumberFormat="1" applyFill="1" applyBorder="1"/>
    <xf numFmtId="4" fontId="23" fillId="0" borderId="49" xfId="4" applyNumberFormat="1" applyFont="1" applyFill="1" applyBorder="1" applyAlignment="1">
      <alignment horizontal="right"/>
    </xf>
    <xf numFmtId="0" fontId="29" fillId="0" borderId="0" xfId="4" applyFont="1" applyBorder="1"/>
    <xf numFmtId="0" fontId="29" fillId="0" borderId="0" xfId="4" applyFill="1"/>
    <xf numFmtId="3" fontId="12" fillId="0" borderId="0" xfId="5" applyNumberFormat="1" applyFont="1" applyFill="1" applyAlignment="1">
      <alignment horizontal="right" vertical="center"/>
    </xf>
    <xf numFmtId="4" fontId="23" fillId="0" borderId="0" xfId="4" applyNumberFormat="1" applyFont="1" applyFill="1" applyAlignment="1">
      <alignment horizontal="right"/>
    </xf>
    <xf numFmtId="0" fontId="29" fillId="0" borderId="0" xfId="4" applyFont="1" applyFill="1" applyAlignment="1">
      <alignment horizontal="center"/>
    </xf>
    <xf numFmtId="0" fontId="29" fillId="0" borderId="49" xfId="4" applyFont="1" applyFill="1" applyBorder="1"/>
    <xf numFmtId="0" fontId="29" fillId="0" borderId="0" xfId="4" applyFill="1" applyBorder="1" applyAlignment="1">
      <alignment horizontal="center"/>
    </xf>
    <xf numFmtId="0" fontId="29" fillId="0" borderId="0" xfId="4" applyBorder="1" applyAlignment="1">
      <alignment horizontal="center"/>
    </xf>
    <xf numFmtId="0" fontId="29" fillId="0" borderId="0" xfId="4" applyBorder="1" applyAlignment="1"/>
    <xf numFmtId="3" fontId="29" fillId="0" borderId="22" xfId="4" applyNumberFormat="1" applyBorder="1" applyAlignment="1"/>
    <xf numFmtId="167" fontId="29" fillId="0" borderId="22" xfId="4" applyNumberFormat="1" applyFill="1" applyBorder="1" applyAlignment="1"/>
    <xf numFmtId="4" fontId="31" fillId="6" borderId="49" xfId="4" applyNumberFormat="1" applyFont="1" applyFill="1" applyBorder="1"/>
    <xf numFmtId="10" fontId="29" fillId="0" borderId="0" xfId="4" applyNumberFormat="1"/>
    <xf numFmtId="4" fontId="29" fillId="0" borderId="20" xfId="4" applyNumberFormat="1" applyFill="1" applyBorder="1"/>
    <xf numFmtId="4" fontId="29" fillId="6" borderId="49" xfId="4" applyNumberFormat="1" applyFill="1" applyBorder="1"/>
    <xf numFmtId="4" fontId="29" fillId="0" borderId="49" xfId="4" applyNumberFormat="1" applyFont="1" applyFill="1" applyBorder="1"/>
    <xf numFmtId="4" fontId="29" fillId="0" borderId="49" xfId="4" applyNumberFormat="1" applyFont="1" applyBorder="1"/>
    <xf numFmtId="0" fontId="31" fillId="0" borderId="0" xfId="4" applyFont="1" applyFill="1"/>
    <xf numFmtId="4" fontId="31" fillId="0" borderId="49" xfId="4" applyNumberFormat="1" applyFont="1" applyBorder="1"/>
    <xf numFmtId="4" fontId="31" fillId="0" borderId="49" xfId="4" applyNumberFormat="1" applyFont="1" applyFill="1" applyBorder="1"/>
    <xf numFmtId="4" fontId="29" fillId="0" borderId="14" xfId="4" applyNumberFormat="1" applyFill="1" applyBorder="1"/>
    <xf numFmtId="4" fontId="29" fillId="0" borderId="22" xfId="4" applyNumberFormat="1" applyFill="1" applyBorder="1"/>
    <xf numFmtId="3" fontId="29" fillId="0" borderId="0" xfId="4" applyNumberFormat="1" applyFill="1"/>
    <xf numFmtId="0" fontId="31" fillId="0" borderId="20" xfId="4" applyFont="1" applyFill="1" applyBorder="1"/>
    <xf numFmtId="0" fontId="31" fillId="0" borderId="21" xfId="4" applyFont="1" applyFill="1" applyBorder="1"/>
    <xf numFmtId="4" fontId="31" fillId="13" borderId="49" xfId="4" applyNumberFormat="1" applyFont="1" applyFill="1" applyBorder="1"/>
    <xf numFmtId="0" fontId="31" fillId="0" borderId="0" xfId="4" applyFont="1"/>
    <xf numFmtId="3" fontId="29" fillId="0" borderId="0" xfId="2" applyNumberFormat="1"/>
    <xf numFmtId="4" fontId="29" fillId="0" borderId="0" xfId="2" applyNumberFormat="1"/>
    <xf numFmtId="0" fontId="34" fillId="9" borderId="4" xfId="4" applyFont="1" applyFill="1" applyBorder="1"/>
    <xf numFmtId="0" fontId="34" fillId="9" borderId="1" xfId="4" applyFont="1" applyFill="1" applyBorder="1"/>
    <xf numFmtId="0" fontId="34" fillId="9" borderId="3" xfId="4" applyFont="1" applyFill="1" applyBorder="1"/>
    <xf numFmtId="4" fontId="47" fillId="0" borderId="0" xfId="4" applyNumberFormat="1" applyFont="1"/>
    <xf numFmtId="0" fontId="33" fillId="0" borderId="56" xfId="2" applyFont="1" applyFill="1" applyBorder="1" applyAlignment="1">
      <alignment horizontal="center" wrapText="1"/>
    </xf>
    <xf numFmtId="3" fontId="7" fillId="0" borderId="36" xfId="0" applyNumberFormat="1" applyFont="1" applyBorder="1"/>
    <xf numFmtId="0" fontId="2" fillId="0" borderId="0" xfId="0" applyFont="1" applyFill="1" applyBorder="1" applyAlignment="1">
      <alignment horizontal="center" vertical="distributed"/>
    </xf>
    <xf numFmtId="0" fontId="6" fillId="0" borderId="0" xfId="0" applyFont="1" applyFill="1" applyBorder="1" applyAlignment="1">
      <alignment horizontal="center" vertical="distributed"/>
    </xf>
    <xf numFmtId="0" fontId="6" fillId="0" borderId="0" xfId="0" applyFont="1" applyFill="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6" fillId="0" borderId="1" xfId="0" applyFont="1" applyFill="1" applyBorder="1" applyAlignment="1">
      <alignment horizontal="center" vertical="distributed"/>
    </xf>
    <xf numFmtId="0" fontId="6" fillId="0" borderId="3" xfId="0" applyFont="1" applyFill="1" applyBorder="1" applyAlignment="1">
      <alignment horizontal="center" vertical="distributed"/>
    </xf>
    <xf numFmtId="0" fontId="2" fillId="0" borderId="4" xfId="0" applyFont="1" applyFill="1" applyBorder="1" applyAlignment="1">
      <alignment horizontal="center" vertical="distributed"/>
    </xf>
    <xf numFmtId="0" fontId="6" fillId="0" borderId="4" xfId="0" applyFont="1" applyFill="1" applyBorder="1" applyAlignment="1">
      <alignment horizontal="center" vertical="distributed"/>
    </xf>
    <xf numFmtId="0" fontId="6" fillId="0" borderId="4" xfId="0" applyFont="1" applyFill="1" applyBorder="1" applyAlignment="1">
      <alignment horizontal="center" vertical="center"/>
    </xf>
    <xf numFmtId="0" fontId="5" fillId="0" borderId="1" xfId="0" applyFont="1" applyFill="1" applyBorder="1" applyAlignment="1">
      <alignment horizontal="center"/>
    </xf>
    <xf numFmtId="0" fontId="5" fillId="0" borderId="2" xfId="0" applyFont="1" applyFill="1" applyBorder="1" applyAlignment="1">
      <alignment horizontal="center"/>
    </xf>
    <xf numFmtId="0" fontId="5" fillId="0" borderId="3" xfId="0" applyFont="1" applyFill="1" applyBorder="1" applyAlignment="1">
      <alignment horizontal="center"/>
    </xf>
    <xf numFmtId="0" fontId="6" fillId="0" borderId="5" xfId="0" applyFont="1" applyFill="1" applyBorder="1" applyAlignment="1">
      <alignment horizontal="center" vertical="center"/>
    </xf>
    <xf numFmtId="0" fontId="7" fillId="0" borderId="1" xfId="0" applyFont="1" applyFill="1" applyBorder="1" applyAlignment="1">
      <alignment horizontal="center" vertical="distributed"/>
    </xf>
    <xf numFmtId="0" fontId="7" fillId="0" borderId="3" xfId="0" applyFont="1" applyFill="1" applyBorder="1" applyAlignment="1">
      <alignment horizontal="center" vertical="distributed"/>
    </xf>
    <xf numFmtId="0" fontId="5" fillId="0" borderId="0" xfId="0" applyFont="1" applyAlignment="1">
      <alignment horizontal="center"/>
    </xf>
    <xf numFmtId="0" fontId="5" fillId="0" borderId="0" xfId="0" applyFont="1" applyAlignment="1">
      <alignment horizontal="center" vertical="justify"/>
    </xf>
    <xf numFmtId="0" fontId="8" fillId="0" borderId="0" xfId="0" applyFont="1" applyAlignment="1">
      <alignment horizontal="center"/>
    </xf>
    <xf numFmtId="0" fontId="8" fillId="0" borderId="24" xfId="0" applyFont="1" applyFill="1" applyBorder="1" applyAlignment="1">
      <alignment horizontal="center" vertical="center" wrapText="1"/>
    </xf>
    <xf numFmtId="0" fontId="8" fillId="0" borderId="28" xfId="0" applyFont="1" applyFill="1" applyBorder="1" applyAlignment="1">
      <alignment horizontal="center" vertical="center" wrapText="1"/>
    </xf>
    <xf numFmtId="0" fontId="8" fillId="0" borderId="34"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38" xfId="0" applyFont="1" applyFill="1" applyBorder="1" applyAlignment="1">
      <alignment horizontal="center" vertical="center" wrapText="1"/>
    </xf>
    <xf numFmtId="0" fontId="11" fillId="0" borderId="18" xfId="0" applyFont="1" applyBorder="1" applyAlignment="1">
      <alignment horizontal="center" vertical="center" wrapText="1"/>
    </xf>
    <xf numFmtId="0" fontId="9" fillId="0" borderId="76" xfId="0" applyFont="1" applyBorder="1" applyAlignment="1">
      <alignment horizontal="center" vertical="center" wrapText="1"/>
    </xf>
    <xf numFmtId="0" fontId="5" fillId="0" borderId="25"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36" xfId="0" applyFont="1" applyFill="1" applyBorder="1" applyAlignment="1">
      <alignment horizontal="center" vertical="center" wrapText="1"/>
    </xf>
    <xf numFmtId="0" fontId="21" fillId="0" borderId="0" xfId="0" applyFont="1" applyAlignment="1">
      <alignment horizontal="center" vertical="justify"/>
    </xf>
    <xf numFmtId="0" fontId="11" fillId="0" borderId="20" xfId="0" applyFont="1" applyBorder="1" applyAlignment="1">
      <alignment horizontal="center" vertical="center" wrapText="1"/>
    </xf>
    <xf numFmtId="0" fontId="9" fillId="0" borderId="21" xfId="0" applyFont="1" applyBorder="1" applyAlignment="1">
      <alignment horizontal="center" vertical="center" wrapText="1"/>
    </xf>
    <xf numFmtId="0" fontId="8" fillId="0" borderId="4" xfId="0" applyFont="1" applyBorder="1" applyAlignment="1">
      <alignment horizontal="center" vertical="center" wrapText="1"/>
    </xf>
    <xf numFmtId="0" fontId="0" fillId="0" borderId="4" xfId="0" applyBorder="1" applyAlignment="1">
      <alignment vertical="center" wrapText="1"/>
    </xf>
    <xf numFmtId="2" fontId="8" fillId="0" borderId="4" xfId="0" applyNumberFormat="1" applyFont="1" applyBorder="1" applyAlignment="1">
      <alignment horizontal="center" wrapText="1"/>
    </xf>
    <xf numFmtId="0" fontId="0" fillId="0" borderId="32" xfId="0" applyBorder="1" applyAlignment="1">
      <alignment vertical="center" wrapText="1"/>
    </xf>
    <xf numFmtId="0" fontId="8" fillId="0" borderId="4" xfId="0" applyFont="1" applyBorder="1" applyAlignment="1">
      <alignment horizontal="center"/>
    </xf>
    <xf numFmtId="4" fontId="8" fillId="0" borderId="4" xfId="0" applyNumberFormat="1" applyFont="1" applyBorder="1" applyAlignment="1">
      <alignment horizontal="center" vertical="center" wrapText="1"/>
    </xf>
    <xf numFmtId="0" fontId="0" fillId="0" borderId="4" xfId="0" applyBorder="1" applyAlignment="1">
      <alignment horizontal="center" vertical="center" wrapText="1"/>
    </xf>
    <xf numFmtId="0" fontId="0" fillId="0" borderId="32" xfId="0" applyBorder="1" applyAlignment="1">
      <alignment horizontal="center" vertical="center" wrapText="1"/>
    </xf>
    <xf numFmtId="0" fontId="8" fillId="0" borderId="1" xfId="0" applyFont="1" applyBorder="1" applyAlignment="1">
      <alignment horizontal="center" vertical="center" wrapText="1"/>
    </xf>
    <xf numFmtId="0" fontId="8" fillId="0" borderId="25" xfId="0" applyFont="1" applyFill="1" applyBorder="1" applyAlignment="1">
      <alignment horizontal="center" vertical="center" wrapText="1"/>
    </xf>
    <xf numFmtId="0" fontId="8" fillId="0" borderId="29" xfId="0" applyFont="1" applyFill="1" applyBorder="1" applyAlignment="1">
      <alignment horizontal="center" vertical="center" wrapText="1"/>
    </xf>
    <xf numFmtId="0" fontId="10" fillId="0" borderId="55"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23" xfId="0" applyFont="1" applyBorder="1" applyAlignment="1">
      <alignment horizontal="center" vertical="center" wrapText="1"/>
    </xf>
    <xf numFmtId="2" fontId="10" fillId="0" borderId="24" xfId="0" applyNumberFormat="1" applyFont="1" applyFill="1" applyBorder="1" applyAlignment="1">
      <alignment horizontal="center" vertical="center" wrapText="1"/>
    </xf>
    <xf numFmtId="2" fontId="10" fillId="0" borderId="5" xfId="0" applyNumberFormat="1" applyFont="1" applyFill="1" applyBorder="1" applyAlignment="1">
      <alignment horizontal="center" vertical="center" wrapText="1"/>
    </xf>
    <xf numFmtId="2" fontId="10" fillId="0" borderId="43" xfId="0" applyNumberFormat="1" applyFont="1" applyFill="1" applyBorder="1" applyAlignment="1">
      <alignment horizontal="center" vertical="center" wrapText="1"/>
    </xf>
    <xf numFmtId="2" fontId="10" fillId="0" borderId="10" xfId="0" applyNumberFormat="1"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10" fillId="0" borderId="28"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4" fontId="10" fillId="0" borderId="5" xfId="0" applyNumberFormat="1" applyFont="1" applyFill="1" applyBorder="1" applyAlignment="1">
      <alignment horizontal="center" vertical="center" wrapText="1"/>
    </xf>
    <xf numFmtId="4" fontId="10" fillId="0" borderId="8" xfId="0" applyNumberFormat="1" applyFont="1" applyFill="1" applyBorder="1" applyAlignment="1">
      <alignment horizontal="center" vertical="center" wrapText="1"/>
    </xf>
    <xf numFmtId="0" fontId="10" fillId="0" borderId="55" xfId="0" applyFont="1" applyFill="1" applyBorder="1" applyAlignment="1">
      <alignment horizontal="center" vertical="center" wrapText="1"/>
    </xf>
    <xf numFmtId="0" fontId="10" fillId="0" borderId="57" xfId="0" applyFont="1" applyFill="1" applyBorder="1" applyAlignment="1">
      <alignment horizontal="center" vertical="center" wrapText="1"/>
    </xf>
    <xf numFmtId="0" fontId="0" fillId="0" borderId="3" xfId="0" applyBorder="1" applyAlignment="1">
      <alignment horizontal="center" vertical="center" wrapText="1"/>
    </xf>
    <xf numFmtId="0" fontId="15" fillId="0" borderId="8" xfId="0" applyFont="1" applyBorder="1" applyAlignment="1">
      <alignment horizontal="center" vertical="center" wrapText="1"/>
    </xf>
    <xf numFmtId="0" fontId="10" fillId="0" borderId="15"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5" xfId="0" applyFont="1" applyFill="1" applyBorder="1" applyAlignment="1">
      <alignment horizontal="center" vertical="center"/>
    </xf>
    <xf numFmtId="0" fontId="10" fillId="0" borderId="17" xfId="0" applyFont="1" applyFill="1" applyBorder="1" applyAlignment="1">
      <alignment horizontal="center" vertical="center"/>
    </xf>
    <xf numFmtId="0" fontId="10" fillId="0" borderId="16" xfId="0" applyFont="1" applyFill="1" applyBorder="1" applyAlignment="1">
      <alignment horizontal="center" vertical="center"/>
    </xf>
    <xf numFmtId="165" fontId="18" fillId="0" borderId="0" xfId="0" applyNumberFormat="1" applyFont="1" applyAlignment="1">
      <alignment horizontal="left" vertical="center" wrapText="1"/>
    </xf>
    <xf numFmtId="0" fontId="18" fillId="0" borderId="0" xfId="0" applyFont="1" applyFill="1" applyAlignment="1">
      <alignment horizontal="left" wrapText="1"/>
    </xf>
    <xf numFmtId="0" fontId="18" fillId="0" borderId="14" xfId="0" applyFont="1" applyFill="1" applyBorder="1" applyAlignment="1">
      <alignment horizontal="left"/>
    </xf>
    <xf numFmtId="0" fontId="18" fillId="0" borderId="0" xfId="0" applyFont="1" applyAlignment="1">
      <alignment horizontal="left" vertical="center" wrapText="1"/>
    </xf>
    <xf numFmtId="0" fontId="8" fillId="0" borderId="0" xfId="0" applyFont="1" applyAlignment="1">
      <alignment horizontal="center" vertical="center"/>
    </xf>
    <xf numFmtId="0" fontId="21" fillId="0" borderId="0" xfId="0" applyFont="1" applyBorder="1" applyAlignment="1">
      <alignment horizontal="center" vertical="center"/>
    </xf>
    <xf numFmtId="0" fontId="8" fillId="0" borderId="55" xfId="0" applyFont="1" applyBorder="1" applyAlignment="1">
      <alignment horizontal="center" vertical="center" textRotation="90"/>
    </xf>
    <xf numFmtId="0" fontId="8" fillId="0" borderId="57" xfId="0" applyFont="1" applyBorder="1" applyAlignment="1">
      <alignment horizontal="center" vertical="center" textRotation="90"/>
    </xf>
    <xf numFmtId="0" fontId="8" fillId="0" borderId="59" xfId="0" applyFont="1" applyBorder="1" applyAlignment="1">
      <alignment horizontal="center" vertical="center" textRotation="90"/>
    </xf>
    <xf numFmtId="2" fontId="8" fillId="0" borderId="66" xfId="0" applyNumberFormat="1" applyFont="1" applyBorder="1" applyAlignment="1">
      <alignment horizontal="center" vertical="justify"/>
    </xf>
    <xf numFmtId="2" fontId="8" fillId="0" borderId="29" xfId="0" applyNumberFormat="1" applyFont="1" applyBorder="1" applyAlignment="1">
      <alignment horizontal="center" vertical="justify"/>
    </xf>
    <xf numFmtId="2" fontId="8" fillId="0" borderId="44" xfId="0" applyNumberFormat="1" applyFont="1" applyBorder="1" applyAlignment="1">
      <alignment horizontal="center" vertical="justify"/>
    </xf>
    <xf numFmtId="1" fontId="8" fillId="0" borderId="77" xfId="0" applyNumberFormat="1" applyFont="1" applyBorder="1" applyAlignment="1">
      <alignment horizontal="center"/>
    </xf>
    <xf numFmtId="1" fontId="8" fillId="0" borderId="11" xfId="0" applyNumberFormat="1" applyFont="1" applyBorder="1" applyAlignment="1">
      <alignment horizontal="center"/>
    </xf>
    <xf numFmtId="0" fontId="8" fillId="0" borderId="77" xfId="0" applyFont="1" applyBorder="1" applyAlignment="1">
      <alignment horizontal="center"/>
    </xf>
    <xf numFmtId="0" fontId="8" fillId="0" borderId="12" xfId="0" applyFont="1" applyBorder="1" applyAlignment="1">
      <alignment horizontal="center"/>
    </xf>
    <xf numFmtId="0" fontId="8" fillId="0" borderId="25" xfId="0" applyFont="1" applyFill="1" applyBorder="1" applyAlignment="1">
      <alignment horizontal="center" wrapText="1"/>
    </xf>
    <xf numFmtId="0" fontId="8" fillId="0" borderId="29" xfId="0" applyFont="1" applyFill="1" applyBorder="1" applyAlignment="1">
      <alignment horizontal="center" wrapText="1"/>
    </xf>
    <xf numFmtId="0" fontId="8" fillId="0" borderId="44" xfId="0" applyFont="1" applyFill="1" applyBorder="1" applyAlignment="1">
      <alignment horizontal="center" wrapText="1"/>
    </xf>
    <xf numFmtId="0" fontId="8" fillId="0" borderId="23" xfId="0" applyFont="1" applyBorder="1" applyAlignment="1">
      <alignment horizontal="center"/>
    </xf>
    <xf numFmtId="0" fontId="8" fillId="0" borderId="0" xfId="0" applyFont="1" applyBorder="1" applyAlignment="1">
      <alignment horizontal="center"/>
    </xf>
    <xf numFmtId="0" fontId="40" fillId="0" borderId="0" xfId="0" applyFont="1" applyAlignment="1">
      <alignment horizontal="left" vertical="center" wrapText="1"/>
    </xf>
    <xf numFmtId="165" fontId="40" fillId="0" borderId="0" xfId="0" applyNumberFormat="1" applyFont="1" applyAlignment="1">
      <alignment horizontal="left" vertical="center" wrapText="1"/>
    </xf>
    <xf numFmtId="0" fontId="10" fillId="0" borderId="5"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0"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57" xfId="0" applyFont="1" applyBorder="1" applyAlignment="1">
      <alignment horizontal="center" vertical="center" wrapText="1"/>
    </xf>
    <xf numFmtId="0" fontId="8" fillId="0" borderId="59" xfId="0" applyFont="1" applyBorder="1" applyAlignment="1">
      <alignment horizontal="center" vertical="center" wrapText="1"/>
    </xf>
    <xf numFmtId="0" fontId="8" fillId="0" borderId="15" xfId="0" applyFont="1" applyBorder="1" applyAlignment="1">
      <alignment horizontal="center" wrapText="1"/>
    </xf>
    <xf numFmtId="0" fontId="8" fillId="0" borderId="16" xfId="0" applyFont="1" applyBorder="1" applyAlignment="1">
      <alignment horizontal="center" wrapText="1"/>
    </xf>
    <xf numFmtId="0" fontId="8" fillId="0" borderId="17" xfId="0" applyFont="1" applyBorder="1" applyAlignment="1">
      <alignment horizontal="center" wrapText="1"/>
    </xf>
    <xf numFmtId="0" fontId="8" fillId="0" borderId="24" xfId="0" applyFont="1" applyBorder="1" applyAlignment="1">
      <alignment horizontal="center" vertical="justify"/>
    </xf>
    <xf numFmtId="0" fontId="8" fillId="0" borderId="28" xfId="0" applyFont="1" applyBorder="1" applyAlignment="1">
      <alignment horizontal="center" vertical="justify"/>
    </xf>
    <xf numFmtId="0" fontId="8" fillId="0" borderId="43" xfId="0" applyFont="1" applyBorder="1" applyAlignment="1">
      <alignment horizontal="center" vertical="justify"/>
    </xf>
    <xf numFmtId="0" fontId="8" fillId="0" borderId="25" xfId="0" applyFont="1" applyBorder="1" applyAlignment="1">
      <alignment horizontal="center" vertical="justify"/>
    </xf>
    <xf numFmtId="0" fontId="8" fillId="0" borderId="29" xfId="0" applyFont="1" applyBorder="1" applyAlignment="1">
      <alignment horizontal="center" vertical="justify"/>
    </xf>
    <xf numFmtId="0" fontId="8" fillId="0" borderId="44" xfId="0" applyFont="1" applyBorder="1" applyAlignment="1">
      <alignment horizontal="center" vertical="justify"/>
    </xf>
    <xf numFmtId="0" fontId="8" fillId="0" borderId="20" xfId="0" applyFont="1" applyBorder="1" applyAlignment="1">
      <alignment horizontal="left"/>
    </xf>
    <xf numFmtId="0" fontId="8" fillId="0" borderId="21" xfId="0" applyFont="1" applyBorder="1" applyAlignment="1">
      <alignment horizontal="left"/>
    </xf>
    <xf numFmtId="0" fontId="40" fillId="0" borderId="14" xfId="0" applyFont="1" applyBorder="1" applyAlignment="1">
      <alignment horizontal="left" vertical="center"/>
    </xf>
    <xf numFmtId="0" fontId="40" fillId="0" borderId="0" xfId="0" applyFont="1" applyAlignment="1">
      <alignment horizontal="left" vertical="justify"/>
    </xf>
    <xf numFmtId="0" fontId="19" fillId="0" borderId="0" xfId="0" applyFont="1" applyFill="1" applyAlignment="1">
      <alignment horizontal="left" vertical="center" wrapText="1"/>
    </xf>
    <xf numFmtId="0" fontId="8" fillId="0" borderId="0" xfId="0" applyFont="1" applyFill="1" applyBorder="1" applyAlignment="1">
      <alignment horizontal="center" wrapText="1"/>
    </xf>
    <xf numFmtId="0" fontId="11" fillId="0" borderId="13" xfId="0" applyFont="1" applyFill="1" applyBorder="1" applyAlignment="1">
      <alignment horizontal="center" vertical="center" wrapText="1"/>
    </xf>
    <xf numFmtId="0" fontId="11" fillId="0" borderId="23" xfId="0" applyFont="1" applyFill="1" applyBorder="1" applyAlignment="1">
      <alignment horizontal="center" vertical="center" wrapText="1"/>
    </xf>
    <xf numFmtId="0" fontId="11" fillId="0" borderId="31" xfId="0" applyFont="1" applyFill="1" applyBorder="1" applyAlignment="1">
      <alignment horizontal="center" vertical="center" wrapText="1"/>
    </xf>
    <xf numFmtId="0" fontId="11" fillId="0" borderId="55" xfId="0" applyFont="1" applyBorder="1" applyAlignment="1">
      <alignment horizontal="center" vertical="distributed"/>
    </xf>
    <xf numFmtId="0" fontId="11" fillId="0" borderId="57" xfId="0" applyFont="1" applyBorder="1" applyAlignment="1">
      <alignment horizontal="center" vertical="distributed"/>
    </xf>
    <xf numFmtId="0" fontId="11" fillId="0" borderId="55" xfId="0" applyFont="1" applyFill="1" applyBorder="1" applyAlignment="1">
      <alignment horizontal="center" vertical="distributed" wrapText="1"/>
    </xf>
    <xf numFmtId="0" fontId="11" fillId="0" borderId="57" xfId="0" applyFont="1" applyFill="1" applyBorder="1" applyAlignment="1">
      <alignment horizontal="center" vertical="distributed" wrapText="1"/>
    </xf>
    <xf numFmtId="0" fontId="11" fillId="0" borderId="56" xfId="0" applyFont="1" applyFill="1" applyBorder="1" applyAlignment="1">
      <alignment horizontal="center" wrapText="1"/>
    </xf>
    <xf numFmtId="0" fontId="11" fillId="0" borderId="21" xfId="0" applyFont="1" applyFill="1" applyBorder="1" applyAlignment="1">
      <alignment horizontal="center" wrapText="1"/>
    </xf>
    <xf numFmtId="0" fontId="11" fillId="0" borderId="20" xfId="0" applyFont="1" applyFill="1" applyBorder="1" applyAlignment="1">
      <alignment horizontal="center" wrapText="1"/>
    </xf>
    <xf numFmtId="0" fontId="11" fillId="0" borderId="55" xfId="0" applyFont="1" applyFill="1" applyBorder="1" applyAlignment="1">
      <alignment horizontal="center" vertical="distributed"/>
    </xf>
    <xf numFmtId="0" fontId="11" fillId="0" borderId="57" xfId="0" applyFont="1" applyFill="1" applyBorder="1" applyAlignment="1">
      <alignment horizontal="center" vertical="distributed"/>
    </xf>
    <xf numFmtId="0" fontId="10" fillId="0" borderId="55" xfId="0" applyFont="1" applyFill="1" applyBorder="1" applyAlignment="1">
      <alignment horizontal="center" vertical="distributed"/>
    </xf>
    <xf numFmtId="0" fontId="10" fillId="0" borderId="57" xfId="0" applyFont="1" applyFill="1" applyBorder="1" applyAlignment="1">
      <alignment horizontal="center" vertical="distributed"/>
    </xf>
    <xf numFmtId="0" fontId="14" fillId="0" borderId="55" xfId="0" applyFont="1" applyFill="1" applyBorder="1" applyAlignment="1">
      <alignment horizontal="center" vertical="distributed"/>
    </xf>
    <xf numFmtId="0" fontId="14" fillId="0" borderId="57" xfId="0" applyFont="1" applyFill="1" applyBorder="1" applyAlignment="1">
      <alignment horizontal="center" vertical="distributed"/>
    </xf>
    <xf numFmtId="0" fontId="7" fillId="0" borderId="0" xfId="0" applyFont="1" applyFill="1" applyBorder="1" applyAlignment="1">
      <alignment horizontal="center"/>
    </xf>
    <xf numFmtId="0" fontId="0" fillId="0" borderId="0" xfId="0" applyAlignment="1">
      <alignment horizontal="justify" vertical="justify" wrapText="1"/>
    </xf>
    <xf numFmtId="0" fontId="0" fillId="0" borderId="0" xfId="0" applyFill="1" applyAlignment="1">
      <alignment horizontal="left" vertical="center" wrapText="1"/>
    </xf>
    <xf numFmtId="0" fontId="36" fillId="0" borderId="0" xfId="0" applyFont="1" applyAlignment="1">
      <alignment horizontal="left" vertical="center" wrapText="1"/>
    </xf>
    <xf numFmtId="0" fontId="8" fillId="0" borderId="70" xfId="0" applyFont="1" applyFill="1" applyBorder="1" applyAlignment="1">
      <alignment horizontal="center" vertical="center" wrapText="1"/>
    </xf>
    <xf numFmtId="0" fontId="0" fillId="0" borderId="0" xfId="0" applyAlignment="1">
      <alignment horizontal="right"/>
    </xf>
    <xf numFmtId="0" fontId="18" fillId="0" borderId="14" xfId="0" applyFont="1" applyBorder="1" applyAlignment="1">
      <alignment horizontal="left" vertical="center"/>
    </xf>
    <xf numFmtId="0" fontId="18" fillId="0" borderId="0" xfId="0" applyFont="1" applyAlignment="1">
      <alignment horizontal="left" vertical="justify"/>
    </xf>
    <xf numFmtId="0" fontId="36" fillId="0" borderId="0" xfId="0" applyFont="1" applyFill="1" applyBorder="1" applyAlignment="1">
      <alignment horizontal="left"/>
    </xf>
    <xf numFmtId="0" fontId="22" fillId="0" borderId="0" xfId="0" applyFont="1" applyAlignment="1">
      <alignment horizontal="center"/>
    </xf>
    <xf numFmtId="0" fontId="14" fillId="0" borderId="71"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71" xfId="0" applyFont="1" applyFill="1" applyBorder="1" applyAlignment="1">
      <alignment horizontal="center" vertical="justify"/>
    </xf>
    <xf numFmtId="0" fontId="14" fillId="0" borderId="8" xfId="0" applyFont="1" applyFill="1" applyBorder="1" applyAlignment="1">
      <alignment horizontal="center" vertical="justify"/>
    </xf>
    <xf numFmtId="0" fontId="14" fillId="0" borderId="66" xfId="0" applyFont="1" applyFill="1" applyBorder="1" applyAlignment="1">
      <alignment horizontal="center" vertical="justify"/>
    </xf>
    <xf numFmtId="0" fontId="14" fillId="0" borderId="29" xfId="0" applyFont="1" applyFill="1" applyBorder="1" applyAlignment="1">
      <alignment horizontal="center" vertical="justify"/>
    </xf>
    <xf numFmtId="0" fontId="4" fillId="0" borderId="0" xfId="0" applyFont="1" applyAlignment="1">
      <alignment horizontal="center"/>
    </xf>
    <xf numFmtId="0" fontId="8" fillId="0" borderId="0" xfId="0" applyFont="1" applyBorder="1" applyAlignment="1">
      <alignment horizontal="center" vertical="justify"/>
    </xf>
    <xf numFmtId="0" fontId="8" fillId="0" borderId="70"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71" xfId="0" applyFont="1" applyBorder="1" applyAlignment="1">
      <alignment horizontal="center" vertical="justify"/>
    </xf>
    <xf numFmtId="0" fontId="8" fillId="0" borderId="8" xfId="0" applyFont="1" applyBorder="1" applyAlignment="1">
      <alignment horizontal="center" vertical="justify"/>
    </xf>
    <xf numFmtId="0" fontId="4" fillId="0" borderId="0" xfId="0" applyFont="1" applyBorder="1" applyAlignment="1">
      <alignment horizontal="center"/>
    </xf>
    <xf numFmtId="0" fontId="8" fillId="0" borderId="71" xfId="0" applyFont="1" applyBorder="1" applyAlignment="1">
      <alignment horizontal="center" vertical="justify" wrapText="1"/>
    </xf>
    <xf numFmtId="0" fontId="8" fillId="0" borderId="8" xfId="0" applyFont="1" applyBorder="1" applyAlignment="1">
      <alignment horizontal="center" vertical="justify" wrapText="1"/>
    </xf>
    <xf numFmtId="0" fontId="8" fillId="0" borderId="71" xfId="0" applyFont="1" applyFill="1" applyBorder="1" applyAlignment="1">
      <alignment horizontal="center" vertical="justify"/>
    </xf>
    <xf numFmtId="0" fontId="8" fillId="0" borderId="8" xfId="0" applyFont="1" applyFill="1" applyBorder="1" applyAlignment="1">
      <alignment horizontal="center" vertical="justify"/>
    </xf>
    <xf numFmtId="0" fontId="8" fillId="0" borderId="66" xfId="0" applyFont="1" applyFill="1" applyBorder="1" applyAlignment="1">
      <alignment horizontal="center" vertical="justify"/>
    </xf>
    <xf numFmtId="0" fontId="8" fillId="0" borderId="29" xfId="0" applyFont="1" applyFill="1" applyBorder="1" applyAlignment="1">
      <alignment horizontal="center" vertical="justify"/>
    </xf>
    <xf numFmtId="0" fontId="21" fillId="0" borderId="0" xfId="0" applyFont="1" applyAlignment="1">
      <alignment horizontal="center"/>
    </xf>
    <xf numFmtId="0" fontId="8" fillId="0" borderId="66" xfId="0" applyFont="1" applyFill="1" applyBorder="1" applyAlignment="1">
      <alignment horizontal="center" vertical="center" wrapText="1"/>
    </xf>
    <xf numFmtId="0" fontId="8" fillId="0" borderId="71"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18" fillId="0" borderId="0" xfId="0" applyFont="1" applyBorder="1" applyAlignment="1">
      <alignment horizontal="left" vertical="center"/>
    </xf>
    <xf numFmtId="0" fontId="8" fillId="0" borderId="10" xfId="0" applyFont="1" applyFill="1" applyBorder="1" applyAlignment="1">
      <alignment horizontal="center" vertical="center" wrapText="1"/>
    </xf>
    <xf numFmtId="165" fontId="39" fillId="0" borderId="0" xfId="0" applyNumberFormat="1" applyFont="1" applyAlignment="1">
      <alignment horizontal="left" vertical="center" wrapText="1"/>
    </xf>
    <xf numFmtId="165" fontId="38" fillId="0" borderId="0" xfId="0" applyNumberFormat="1" applyFont="1" applyAlignment="1">
      <alignment horizontal="left" vertical="center" wrapText="1"/>
    </xf>
    <xf numFmtId="0" fontId="8" fillId="0" borderId="0" xfId="0" applyFont="1" applyBorder="1" applyAlignment="1">
      <alignment horizontal="center" vertical="center" wrapText="1"/>
    </xf>
    <xf numFmtId="0" fontId="8" fillId="0" borderId="11" xfId="0" applyFont="1" applyBorder="1" applyAlignment="1">
      <alignment horizontal="center"/>
    </xf>
    <xf numFmtId="2" fontId="8" fillId="0" borderId="71" xfId="0" applyNumberFormat="1" applyFont="1" applyBorder="1" applyAlignment="1">
      <alignment horizontal="center" vertical="center" wrapText="1"/>
    </xf>
    <xf numFmtId="2" fontId="0" fillId="0" borderId="8" xfId="0" applyNumberFormat="1" applyBorder="1" applyAlignment="1">
      <alignment horizontal="center" vertical="center" wrapText="1"/>
    </xf>
    <xf numFmtId="0" fontId="8" fillId="0" borderId="66" xfId="0" applyFont="1" applyBorder="1" applyAlignment="1">
      <alignment horizontal="center" vertical="center" wrapText="1"/>
    </xf>
    <xf numFmtId="0" fontId="8" fillId="0" borderId="29" xfId="0" applyFont="1" applyBorder="1" applyAlignment="1">
      <alignment horizontal="center" vertical="center" wrapText="1"/>
    </xf>
    <xf numFmtId="49" fontId="8" fillId="0" borderId="0" xfId="0" applyNumberFormat="1" applyFont="1" applyAlignment="1">
      <alignment horizontal="center"/>
    </xf>
    <xf numFmtId="0" fontId="30" fillId="0" borderId="0" xfId="2" applyFont="1" applyAlignment="1">
      <alignment horizontal="center"/>
    </xf>
    <xf numFmtId="0" fontId="31" fillId="0" borderId="0" xfId="2" applyFont="1" applyAlignment="1">
      <alignment horizontal="center"/>
    </xf>
    <xf numFmtId="0" fontId="32" fillId="0" borderId="0" xfId="2" applyFont="1" applyAlignment="1">
      <alignment horizontal="center"/>
    </xf>
    <xf numFmtId="0" fontId="43" fillId="0" borderId="0" xfId="3" applyFont="1" applyAlignment="1">
      <alignment vertical="justify" wrapText="1"/>
    </xf>
    <xf numFmtId="0" fontId="38" fillId="0" borderId="0" xfId="0" applyFont="1" applyAlignment="1">
      <alignment vertical="justify" wrapText="1"/>
    </xf>
    <xf numFmtId="0" fontId="8" fillId="0" borderId="15" xfId="0" applyFont="1" applyFill="1" applyBorder="1" applyAlignment="1">
      <alignment horizontal="center" vertical="center"/>
    </xf>
    <xf numFmtId="0" fontId="8" fillId="0" borderId="62" xfId="0" applyFont="1" applyFill="1" applyBorder="1" applyAlignment="1">
      <alignment horizontal="center" vertical="center"/>
    </xf>
    <xf numFmtId="0" fontId="8" fillId="0" borderId="74" xfId="0" applyFont="1" applyFill="1" applyBorder="1" applyAlignment="1">
      <alignment horizontal="center"/>
    </xf>
    <xf numFmtId="0" fontId="8" fillId="0" borderId="75" xfId="0" applyFont="1" applyFill="1" applyBorder="1" applyAlignment="1">
      <alignment horizontal="center"/>
    </xf>
    <xf numFmtId="0" fontId="8" fillId="0" borderId="19" xfId="0" applyFont="1" applyFill="1" applyBorder="1" applyAlignment="1">
      <alignment horizontal="center"/>
    </xf>
    <xf numFmtId="0" fontId="8" fillId="0" borderId="76" xfId="0" applyFont="1" applyFill="1" applyBorder="1" applyAlignment="1">
      <alignment horizontal="center"/>
    </xf>
    <xf numFmtId="0" fontId="7" fillId="0" borderId="0" xfId="0" applyFont="1" applyFill="1" applyBorder="1" applyAlignment="1">
      <alignment horizontal="justify" vertical="justify"/>
    </xf>
    <xf numFmtId="0" fontId="0" fillId="0" borderId="29" xfId="0" applyBorder="1" applyAlignment="1">
      <alignment horizontal="center" vertical="center" wrapText="1"/>
    </xf>
    <xf numFmtId="0" fontId="0" fillId="0" borderId="37" xfId="0" applyBorder="1" applyAlignment="1">
      <alignment horizontal="center" vertical="center" wrapText="1"/>
    </xf>
    <xf numFmtId="0" fontId="30" fillId="0" borderId="0" xfId="4" applyFont="1" applyAlignment="1">
      <alignment horizontal="center"/>
    </xf>
    <xf numFmtId="0" fontId="31" fillId="0" borderId="0" xfId="4" applyFont="1" applyAlignment="1">
      <alignment horizontal="center"/>
    </xf>
    <xf numFmtId="0" fontId="32" fillId="0" borderId="0" xfId="4" applyFont="1" applyAlignment="1">
      <alignment horizontal="center"/>
    </xf>
    <xf numFmtId="0" fontId="34" fillId="9" borderId="1" xfId="4" applyFont="1" applyFill="1" applyBorder="1" applyAlignment="1">
      <alignment horizontal="left"/>
    </xf>
    <xf numFmtId="0" fontId="34" fillId="9" borderId="3" xfId="4" applyFont="1" applyFill="1" applyBorder="1" applyAlignment="1">
      <alignment horizontal="left"/>
    </xf>
    <xf numFmtId="0" fontId="8" fillId="0" borderId="1" xfId="0" applyFont="1" applyBorder="1" applyAlignment="1">
      <alignment horizontal="center"/>
    </xf>
    <xf numFmtId="0" fontId="8" fillId="0" borderId="2" xfId="0" applyFont="1" applyBorder="1" applyAlignment="1">
      <alignment horizontal="center"/>
    </xf>
    <xf numFmtId="0" fontId="8" fillId="0" borderId="3" xfId="0" applyFont="1" applyBorder="1" applyAlignment="1">
      <alignment horizontal="center"/>
    </xf>
    <xf numFmtId="0" fontId="8" fillId="0" borderId="69" xfId="0" applyFont="1" applyFill="1" applyBorder="1" applyAlignment="1">
      <alignment horizontal="left"/>
    </xf>
    <xf numFmtId="0" fontId="8" fillId="0" borderId="0" xfId="0" applyFont="1" applyFill="1" applyBorder="1" applyAlignment="1">
      <alignment horizontal="left"/>
    </xf>
    <xf numFmtId="0" fontId="8" fillId="0" borderId="9" xfId="0" applyFont="1" applyFill="1" applyBorder="1" applyAlignment="1">
      <alignment horizontal="left"/>
    </xf>
    <xf numFmtId="0" fontId="7" fillId="0" borderId="0" xfId="0" applyFont="1" applyFill="1" applyBorder="1" applyAlignment="1">
      <alignment horizontal="left"/>
    </xf>
    <xf numFmtId="0" fontId="8" fillId="0" borderId="42" xfId="0" applyFont="1" applyFill="1" applyBorder="1" applyAlignment="1">
      <alignment horizontal="left"/>
    </xf>
    <xf numFmtId="0" fontId="8" fillId="0" borderId="11" xfId="0" applyFont="1" applyFill="1" applyBorder="1" applyAlignment="1">
      <alignment horizontal="left"/>
    </xf>
    <xf numFmtId="0" fontId="8" fillId="0" borderId="12" xfId="0" applyFont="1" applyFill="1" applyBorder="1" applyAlignment="1">
      <alignment horizontal="left"/>
    </xf>
    <xf numFmtId="0" fontId="8" fillId="0" borderId="42" xfId="0" applyFont="1" applyFill="1" applyBorder="1" applyAlignment="1">
      <alignment horizontal="right"/>
    </xf>
    <xf numFmtId="0" fontId="8" fillId="0" borderId="11" xfId="0" applyFont="1" applyFill="1" applyBorder="1" applyAlignment="1">
      <alignment horizontal="right"/>
    </xf>
    <xf numFmtId="0" fontId="8" fillId="0" borderId="12" xfId="0" applyFont="1" applyFill="1" applyBorder="1" applyAlignment="1">
      <alignment horizontal="right"/>
    </xf>
    <xf numFmtId="0" fontId="8" fillId="0" borderId="4" xfId="0" applyFont="1" applyBorder="1" applyAlignment="1">
      <alignment horizontal="center" vertical="center"/>
    </xf>
    <xf numFmtId="0" fontId="7" fillId="0" borderId="39" xfId="0" applyFont="1" applyFill="1" applyBorder="1" applyAlignment="1">
      <alignment horizontal="left"/>
    </xf>
    <xf numFmtId="0" fontId="7" fillId="0" borderId="22" xfId="0" applyFont="1" applyFill="1" applyBorder="1" applyAlignment="1">
      <alignment horizontal="left"/>
    </xf>
    <xf numFmtId="0" fontId="7" fillId="0" borderId="38" xfId="0" applyFont="1" applyFill="1" applyBorder="1" applyAlignment="1">
      <alignment horizontal="left"/>
    </xf>
    <xf numFmtId="0" fontId="7" fillId="0" borderId="69" xfId="0" applyFont="1" applyFill="1" applyBorder="1" applyAlignment="1">
      <alignment horizontal="left"/>
    </xf>
    <xf numFmtId="0" fontId="7" fillId="0" borderId="9" xfId="0" applyFont="1" applyFill="1" applyBorder="1" applyAlignment="1">
      <alignment horizontal="left"/>
    </xf>
    <xf numFmtId="0" fontId="7" fillId="0" borderId="69" xfId="0" applyFont="1" applyFill="1" applyBorder="1" applyAlignment="1">
      <alignment horizontal="right"/>
    </xf>
    <xf numFmtId="0" fontId="7" fillId="0" borderId="0" xfId="0" applyFont="1" applyFill="1" applyBorder="1" applyAlignment="1">
      <alignment horizontal="right"/>
    </xf>
    <xf numFmtId="0" fontId="7" fillId="0" borderId="30" xfId="0" applyFont="1" applyFill="1" applyBorder="1" applyAlignment="1">
      <alignment horizontal="right"/>
    </xf>
    <xf numFmtId="0" fontId="7" fillId="0" borderId="14" xfId="0" applyFont="1" applyFill="1" applyBorder="1" applyAlignment="1">
      <alignment horizontal="left"/>
    </xf>
    <xf numFmtId="0" fontId="7" fillId="0" borderId="73" xfId="0" applyFont="1" applyFill="1" applyBorder="1" applyAlignment="1">
      <alignment horizontal="right"/>
    </xf>
    <xf numFmtId="0" fontId="7" fillId="0" borderId="14" xfId="0" applyFont="1" applyFill="1" applyBorder="1" applyAlignment="1">
      <alignment horizontal="right"/>
    </xf>
    <xf numFmtId="0" fontId="7" fillId="0" borderId="58" xfId="0" applyFont="1" applyFill="1" applyBorder="1" applyAlignment="1">
      <alignment horizontal="right"/>
    </xf>
    <xf numFmtId="0" fontId="8" fillId="7" borderId="49" xfId="0" applyFont="1" applyFill="1" applyBorder="1" applyAlignment="1">
      <alignment horizontal="left"/>
    </xf>
    <xf numFmtId="4" fontId="7" fillId="0" borderId="69" xfId="0" applyNumberFormat="1" applyFont="1" applyFill="1" applyBorder="1" applyAlignment="1">
      <alignment horizontal="right"/>
    </xf>
    <xf numFmtId="4" fontId="7" fillId="0" borderId="0" xfId="0" applyNumberFormat="1" applyFont="1" applyFill="1" applyBorder="1" applyAlignment="1">
      <alignment horizontal="right"/>
    </xf>
    <xf numFmtId="4" fontId="7" fillId="0" borderId="30" xfId="0" applyNumberFormat="1" applyFont="1" applyFill="1" applyBorder="1" applyAlignment="1">
      <alignment horizontal="right"/>
    </xf>
    <xf numFmtId="0" fontId="7" fillId="0" borderId="23" xfId="0" applyFont="1" applyFill="1" applyBorder="1" applyAlignment="1">
      <alignment horizontal="left"/>
    </xf>
    <xf numFmtId="0" fontId="7" fillId="0" borderId="30" xfId="0" applyFont="1" applyFill="1" applyBorder="1" applyAlignment="1">
      <alignment horizontal="left"/>
    </xf>
    <xf numFmtId="0" fontId="8" fillId="7" borderId="20" xfId="0" applyFont="1" applyFill="1" applyBorder="1" applyAlignment="1">
      <alignment horizontal="left"/>
    </xf>
    <xf numFmtId="0" fontId="8" fillId="7" borderId="56" xfId="0" applyFont="1" applyFill="1" applyBorder="1" applyAlignment="1">
      <alignment horizontal="left"/>
    </xf>
    <xf numFmtId="0" fontId="8" fillId="7" borderId="21" xfId="0" applyFont="1" applyFill="1" applyBorder="1" applyAlignment="1">
      <alignment horizontal="left"/>
    </xf>
    <xf numFmtId="4" fontId="8" fillId="7" borderId="20" xfId="0" applyNumberFormat="1" applyFont="1" applyFill="1" applyBorder="1" applyAlignment="1">
      <alignment horizontal="right"/>
    </xf>
    <xf numFmtId="4" fontId="8" fillId="7" borderId="56" xfId="0" applyNumberFormat="1" applyFont="1" applyFill="1" applyBorder="1" applyAlignment="1">
      <alignment horizontal="right"/>
    </xf>
    <xf numFmtId="0" fontId="8" fillId="7" borderId="21" xfId="0" applyFont="1" applyFill="1" applyBorder="1" applyAlignment="1">
      <alignment horizontal="right"/>
    </xf>
    <xf numFmtId="4" fontId="7" fillId="0" borderId="23" xfId="0" applyNumberFormat="1" applyFont="1" applyFill="1" applyBorder="1" applyAlignment="1">
      <alignment horizontal="right"/>
    </xf>
    <xf numFmtId="0" fontId="7" fillId="0" borderId="23" xfId="0" applyFont="1" applyFill="1" applyBorder="1" applyAlignment="1">
      <alignment horizontal="right"/>
    </xf>
    <xf numFmtId="0" fontId="7" fillId="0" borderId="20" xfId="0" applyFont="1" applyFill="1" applyBorder="1" applyAlignment="1">
      <alignment horizontal="left"/>
    </xf>
    <xf numFmtId="0" fontId="7" fillId="0" borderId="56" xfId="0" applyFont="1" applyFill="1" applyBorder="1" applyAlignment="1">
      <alignment horizontal="left"/>
    </xf>
    <xf numFmtId="0" fontId="7" fillId="0" borderId="21" xfId="0" applyFont="1" applyFill="1" applyBorder="1" applyAlignment="1">
      <alignment horizontal="left"/>
    </xf>
    <xf numFmtId="4" fontId="7" fillId="0" borderId="20" xfId="0" applyNumberFormat="1" applyFont="1" applyFill="1" applyBorder="1" applyAlignment="1">
      <alignment horizontal="right"/>
    </xf>
    <xf numFmtId="4" fontId="7" fillId="0" borderId="56" xfId="0" applyNumberFormat="1" applyFont="1" applyFill="1" applyBorder="1" applyAlignment="1">
      <alignment horizontal="right"/>
    </xf>
    <xf numFmtId="4" fontId="7" fillId="0" borderId="21" xfId="0" applyNumberFormat="1" applyFont="1" applyFill="1" applyBorder="1" applyAlignment="1">
      <alignment horizontal="right"/>
    </xf>
    <xf numFmtId="0" fontId="8" fillId="0" borderId="15" xfId="0" applyFont="1" applyBorder="1" applyAlignment="1">
      <alignment horizontal="center" vertical="center"/>
    </xf>
    <xf numFmtId="0" fontId="8" fillId="0" borderId="17" xfId="0" applyFont="1" applyBorder="1" applyAlignment="1">
      <alignment horizontal="center" vertical="center"/>
    </xf>
    <xf numFmtId="0" fontId="8" fillId="0" borderId="16" xfId="0" applyFont="1" applyBorder="1" applyAlignment="1">
      <alignment horizontal="center" vertical="center"/>
    </xf>
    <xf numFmtId="0" fontId="8" fillId="0" borderId="62" xfId="0" applyFont="1" applyBorder="1" applyAlignment="1">
      <alignment horizontal="center"/>
    </xf>
    <xf numFmtId="0" fontId="8" fillId="0" borderId="68" xfId="0" applyFont="1" applyBorder="1" applyAlignment="1">
      <alignment horizontal="center"/>
    </xf>
    <xf numFmtId="0" fontId="8" fillId="0" borderId="65" xfId="0" applyFont="1" applyBorder="1" applyAlignment="1">
      <alignment horizontal="center"/>
    </xf>
    <xf numFmtId="0" fontId="8" fillId="0" borderId="23" xfId="0" applyFont="1" applyFill="1" applyBorder="1" applyAlignment="1">
      <alignment horizontal="left"/>
    </xf>
    <xf numFmtId="0" fontId="8" fillId="0" borderId="30" xfId="0" applyFont="1" applyFill="1" applyBorder="1" applyAlignment="1">
      <alignment horizontal="left"/>
    </xf>
    <xf numFmtId="0" fontId="31" fillId="11" borderId="0" xfId="4" applyFont="1" applyFill="1" applyAlignment="1">
      <alignment horizontal="center"/>
    </xf>
    <xf numFmtId="0" fontId="29" fillId="0" borderId="22" xfId="4" applyFont="1" applyBorder="1" applyAlignment="1">
      <alignment horizontal="center"/>
    </xf>
    <xf numFmtId="0" fontId="29" fillId="0" borderId="22" xfId="4" applyBorder="1" applyAlignment="1">
      <alignment horizontal="center"/>
    </xf>
    <xf numFmtId="0" fontId="46" fillId="12" borderId="0" xfId="4" applyFont="1" applyFill="1" applyAlignment="1">
      <alignment horizontal="justify" vertical="center"/>
    </xf>
    <xf numFmtId="0" fontId="31" fillId="10" borderId="0" xfId="4" applyFont="1" applyFill="1" applyAlignment="1">
      <alignment horizontal="center"/>
    </xf>
    <xf numFmtId="0" fontId="29" fillId="0" borderId="0" xfId="4" applyAlignment="1">
      <alignment horizontal="center"/>
    </xf>
    <xf numFmtId="0" fontId="29" fillId="0" borderId="0" xfId="4" applyFill="1" applyBorder="1" applyAlignment="1">
      <alignment horizontal="center"/>
    </xf>
    <xf numFmtId="0" fontId="29" fillId="0" borderId="0" xfId="4" applyBorder="1" applyAlignment="1">
      <alignment horizontal="center"/>
    </xf>
    <xf numFmtId="0" fontId="8" fillId="0" borderId="11" xfId="0" applyFont="1" applyBorder="1" applyAlignment="1">
      <alignment horizontal="center" vertical="center"/>
    </xf>
    <xf numFmtId="0" fontId="8" fillId="0" borderId="5"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7" xfId="0" applyFont="1" applyBorder="1" applyAlignment="1">
      <alignment horizontal="center" vertical="center" wrapText="1"/>
    </xf>
    <xf numFmtId="0" fontId="8" fillId="0" borderId="9" xfId="0" applyFont="1" applyBorder="1" applyAlignment="1">
      <alignment horizontal="center" vertical="center" wrapText="1"/>
    </xf>
    <xf numFmtId="4" fontId="7" fillId="0" borderId="4" xfId="0" applyNumberFormat="1" applyFont="1" applyBorder="1" applyAlignment="1">
      <alignment horizontal="center" vertical="center"/>
    </xf>
    <xf numFmtId="0" fontId="8" fillId="0" borderId="74" xfId="0" applyFont="1" applyBorder="1" applyAlignment="1">
      <alignment horizontal="center" vertical="center" wrapText="1"/>
    </xf>
    <xf numFmtId="0" fontId="8" fillId="0" borderId="46" xfId="0" applyFont="1" applyBorder="1" applyAlignment="1">
      <alignment horizontal="center" vertical="center" wrapText="1"/>
    </xf>
    <xf numFmtId="0" fontId="8" fillId="0" borderId="75" xfId="0" applyFont="1" applyBorder="1" applyAlignment="1">
      <alignment horizontal="center" wrapText="1"/>
    </xf>
    <xf numFmtId="0" fontId="8" fillId="0" borderId="4" xfId="0" applyFont="1" applyBorder="1" applyAlignment="1">
      <alignment horizontal="center" wrapText="1"/>
    </xf>
  </cellXfs>
  <cellStyles count="8">
    <cellStyle name="Moneda" xfId="1" builtinId="4"/>
    <cellStyle name="Moneda 2" xfId="6"/>
    <cellStyle name="Normal" xfId="0" builtinId="0"/>
    <cellStyle name="Normal 2" xfId="4"/>
    <cellStyle name="Normal 2 2" xfId="5"/>
    <cellStyle name="Normal 3" xfId="2"/>
    <cellStyle name="Normal 3 2" xfId="3"/>
    <cellStyle name="Porcentaje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externalLink" Target="externalLinks/externalLink1.xml"/><Relationship Id="rId50" Type="http://schemas.openxmlformats.org/officeDocument/2006/relationships/externalLink" Target="externalLinks/externalLink4.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7.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3.xml"/><Relationship Id="rId57"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externalLink" Target="externalLinks/externalLink2.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externalLink" Target="externalLinks/externalLink5.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9525</xdr:rowOff>
    </xdr:from>
    <xdr:to>
      <xdr:col>1</xdr:col>
      <xdr:colOff>590550</xdr:colOff>
      <xdr:row>4</xdr:row>
      <xdr:rowOff>152400</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58662" t="28882" r="6717" b="49712"/>
        <a:stretch>
          <a:fillRect/>
        </a:stretch>
      </xdr:blipFill>
      <xdr:spPr bwMode="auto">
        <a:xfrm>
          <a:off x="0" y="9525"/>
          <a:ext cx="169545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9525</xdr:rowOff>
    </xdr:from>
    <xdr:to>
      <xdr:col>2</xdr:col>
      <xdr:colOff>47625</xdr:colOff>
      <xdr:row>4</xdr:row>
      <xdr:rowOff>152400</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58662" t="28882" r="6717" b="49712"/>
        <a:stretch>
          <a:fillRect/>
        </a:stretch>
      </xdr:blipFill>
      <xdr:spPr bwMode="auto">
        <a:xfrm>
          <a:off x="0" y="9525"/>
          <a:ext cx="169545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9525</xdr:rowOff>
    </xdr:from>
    <xdr:to>
      <xdr:col>2</xdr:col>
      <xdr:colOff>47625</xdr:colOff>
      <xdr:row>4</xdr:row>
      <xdr:rowOff>152400</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58662" t="28882" r="6717" b="49712"/>
        <a:stretch>
          <a:fillRect/>
        </a:stretch>
      </xdr:blipFill>
      <xdr:spPr bwMode="auto">
        <a:xfrm>
          <a:off x="0" y="9525"/>
          <a:ext cx="169545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9525</xdr:rowOff>
    </xdr:from>
    <xdr:to>
      <xdr:col>2</xdr:col>
      <xdr:colOff>28575</xdr:colOff>
      <xdr:row>4</xdr:row>
      <xdr:rowOff>152400</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58662" t="28882" r="6717" b="49712"/>
        <a:stretch>
          <a:fillRect/>
        </a:stretch>
      </xdr:blipFill>
      <xdr:spPr bwMode="auto">
        <a:xfrm>
          <a:off x="0" y="9525"/>
          <a:ext cx="177165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9525</xdr:rowOff>
    </xdr:from>
    <xdr:to>
      <xdr:col>2</xdr:col>
      <xdr:colOff>0</xdr:colOff>
      <xdr:row>4</xdr:row>
      <xdr:rowOff>152400</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58662" t="28882" r="6717" b="49712"/>
        <a:stretch>
          <a:fillRect/>
        </a:stretch>
      </xdr:blipFill>
      <xdr:spPr bwMode="auto">
        <a:xfrm>
          <a:off x="0" y="9525"/>
          <a:ext cx="1743075"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9525</xdr:rowOff>
    </xdr:from>
    <xdr:to>
      <xdr:col>2</xdr:col>
      <xdr:colOff>9525</xdr:colOff>
      <xdr:row>4</xdr:row>
      <xdr:rowOff>152400</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58662" t="28882" r="6717" b="49712"/>
        <a:stretch>
          <a:fillRect/>
        </a:stretch>
      </xdr:blipFill>
      <xdr:spPr bwMode="auto">
        <a:xfrm>
          <a:off x="0" y="9525"/>
          <a:ext cx="1704975"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9525</xdr:rowOff>
    </xdr:from>
    <xdr:to>
      <xdr:col>2</xdr:col>
      <xdr:colOff>9525</xdr:colOff>
      <xdr:row>4</xdr:row>
      <xdr:rowOff>152400</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58662" t="28882" r="6717" b="49712"/>
        <a:stretch>
          <a:fillRect/>
        </a:stretch>
      </xdr:blipFill>
      <xdr:spPr bwMode="auto">
        <a:xfrm>
          <a:off x="0" y="9525"/>
          <a:ext cx="169545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752475</xdr:colOff>
      <xdr:row>3</xdr:row>
      <xdr:rowOff>95250</xdr:rowOff>
    </xdr:to>
    <xdr:pic>
      <xdr:nvPicPr>
        <xdr:cNvPr id="2" name="Imagen 2" descr="C:\Users\rosamaria.estrada\AppData\Local\Temp\Logo_SAF_H-01.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952625" cy="61912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UARIO/ANSELMO/Recaudacion%20Federal/PC%20PACO/Anselmo%20OK/Presupuesto%202018/CALCULO%20DEL%20COEFICIENTE%202018%20%20LYA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uarios/CP.LIBIA%20ESTRADA/Desktop/2020/factores%202020/formulas%20coeficiente%202020.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uarios/CP.LIBIA%20ESTRADA/Desktop/2020/PRESUPUESTO%20DOF%202020%20CALENDARIZAD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uarios/CP.LIBIA%20ESTRADA/Downloads/ESTIMACION%20DE%20PARTICIPACIONES%202017%20POE%20corregid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RECAUDACION%20FEDERAL/Presupuesto%202020/Publicacion/CALCULO%20DEL%20COEFICIENTE%2020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palmiragonzalez/Downloads/Distribuci&#243;n%20y%20Calendarizaci&#243;n%20para%20la%20Ministraci&#243;n%20durante%20el%20Ejercicio%20Fiscal%2020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UARIO/ANSELMO/Recaudacion%20Federal/PC%20PACO/Anselmo%20OK/Presupuesto%202019/CALCULO%20DEL%20COEFICIENTE%202019%20DO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ENDARIO"/>
      <sheetName val="IEPS GyD coeficiente"/>
      <sheetName val="FOFIR 2018 coeficiente"/>
      <sheetName val="IEPS TyA (sin incremento"/>
      <sheetName val="FFM"/>
      <sheetName val="FFM coeficiente"/>
      <sheetName val="FGPcoeficientes desg"/>
      <sheetName val="FGPcoeficientes lia"/>
      <sheetName val="focoisan"/>
      <sheetName val="ISAN2018"/>
      <sheetName val="FOCOISAN1.1"/>
      <sheetName val="incentivo isan"/>
      <sheetName val="IEPS GyD"/>
      <sheetName val="FOFIR 2018"/>
      <sheetName val="FOCO2018"/>
      <sheetName val="FGP total2018"/>
      <sheetName val="FGP total2018 (2)"/>
      <sheetName val="FGP total2018 (3)"/>
      <sheetName val="LEY DE INGRESOS"/>
      <sheetName val="Datos"/>
      <sheetName val="Inicio"/>
      <sheetName val="1. Relleno"/>
      <sheetName val="2. Analizar"/>
      <sheetName val="3. Gráfico"/>
      <sheetName val="FGPmodificado"/>
      <sheetName val="FGP total"/>
      <sheetName val="FFM (3)"/>
      <sheetName val="FFM (2)"/>
      <sheetName val="FOFIR"/>
      <sheetName val="IEPS TyA (2)"/>
      <sheetName val="FOCOmodificado"/>
      <sheetName val="CENSO"/>
      <sheetName val="predial y agua"/>
      <sheetName val=" total"/>
      <sheetName val="ISAN  ok"/>
      <sheetName val="FOCO isa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3">
          <cell r="I13">
            <v>976528016.10000002</v>
          </cell>
        </row>
        <row r="18">
          <cell r="K18">
            <v>279523846.57499999</v>
          </cell>
        </row>
        <row r="23">
          <cell r="K23">
            <v>432473544</v>
          </cell>
        </row>
        <row r="64">
          <cell r="K64">
            <v>36123142</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total (2)"/>
      <sheetName val="FFM total (2)"/>
      <sheetName val="ISAN modificado"/>
      <sheetName val="gassimpl"/>
      <sheetName val="gasolina2020"/>
      <sheetName val="foco simpl"/>
      <sheetName val="FOCO2020"/>
      <sheetName val="IEPS"/>
      <sheetName val="IEPS TyA 2020"/>
      <sheetName val="FOFIR simpl"/>
      <sheetName val="FOFIR2020"/>
      <sheetName val="F.F.M. simplif"/>
      <sheetName val="FFM 2020"/>
      <sheetName val="FGP simpl"/>
      <sheetName val="fgp2020"/>
      <sheetName val="LEY DE INGRESOS"/>
      <sheetName val="Datos"/>
      <sheetName val="Inicio"/>
      <sheetName val="1. Relleno"/>
      <sheetName val="2. Analizar"/>
      <sheetName val="3. Gráfico"/>
      <sheetName val="FGP total"/>
      <sheetName val="FFM"/>
      <sheetName val="FOFIR"/>
      <sheetName val="publicacion ieps"/>
      <sheetName val="FOCOmodificado"/>
      <sheetName val="IEPS GyD"/>
      <sheetName val="CENSO"/>
      <sheetName val="convenio"/>
      <sheetName val="predial y agua"/>
      <sheetName val=" total"/>
      <sheetName val="ISAN  ok"/>
    </sheetNames>
    <sheetDataSet>
      <sheetData sheetId="0"/>
      <sheetData sheetId="1"/>
      <sheetData sheetId="2"/>
      <sheetData sheetId="3"/>
      <sheetData sheetId="4"/>
      <sheetData sheetId="5"/>
      <sheetData sheetId="6"/>
      <sheetData sheetId="7"/>
      <sheetData sheetId="8"/>
      <sheetData sheetId="9"/>
      <sheetData sheetId="10"/>
      <sheetData sheetId="11">
        <row r="16">
          <cell r="E16">
            <v>0</v>
          </cell>
        </row>
      </sheetData>
      <sheetData sheetId="12"/>
      <sheetData sheetId="13">
        <row r="16">
          <cell r="C16">
            <v>3.6636711021849497</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yarit fed"/>
      <sheetName val="corres p entidad fed"/>
      <sheetName val="mpio fed"/>
      <sheetName val="nayarit edo"/>
      <sheetName val="mpios L.I"/>
      <sheetName val="COMPARATIVOS"/>
      <sheetName val="X22.5 2018ESTATAL"/>
      <sheetName val="X22.5 2018dof "/>
      <sheetName val="nayarit"/>
      <sheetName val="Hoja1"/>
    </sheetNames>
    <sheetDataSet>
      <sheetData sheetId="0"/>
      <sheetData sheetId="1"/>
      <sheetData sheetId="2"/>
      <sheetData sheetId="3"/>
      <sheetData sheetId="4"/>
      <sheetData sheetId="5"/>
      <sheetData sheetId="6">
        <row r="13">
          <cell r="C13">
            <v>105134829.76921614</v>
          </cell>
        </row>
        <row r="41">
          <cell r="C41">
            <v>8049883.0499999998</v>
          </cell>
        </row>
      </sheetData>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STO ESTATAL 2017"/>
      <sheetName val="ISANACUMULADO"/>
      <sheetName val="ISAN2017 FONDO"/>
      <sheetName val="ISAN2017"/>
      <sheetName val="F.G.P. (total)"/>
      <sheetName val="F.G.P.incremento"/>
      <sheetName val="F.G.P. 2014"/>
      <sheetName val="F.G.P 2017."/>
      <sheetName val="F.F.M.CONC"/>
      <sheetName val="F.F.M.70%"/>
      <sheetName val="F.F.M.30%"/>
      <sheetName val="F.F.M.100% 2014"/>
      <sheetName val="F.F.M.100% 2015 factr 14"/>
      <sheetName val="IEPS 2014 "/>
      <sheetName val="IEPS (incremento)"/>
      <sheetName val="IEPS tptal)"/>
      <sheetName val="IEPSGAS (total)"/>
      <sheetName val="IEPSGAS incremento"/>
      <sheetName val="IEPSGAS 2014  "/>
      <sheetName val="FOFIE"/>
      <sheetName val="FOFIE variacion"/>
      <sheetName val="FOFIE 2014 "/>
      <sheetName val="F.C 2017"/>
      <sheetName val=" INCREMENTO"/>
      <sheetName val=" fc 2014"/>
      <sheetName val="ISANYFCISAN public)"/>
      <sheetName val="ISANYFCISAN"/>
      <sheetName val="TENENCIAESTATAL"/>
      <sheetName val="CONCENTRADO"/>
      <sheetName val="CONCENTRADOBRUTO"/>
    </sheetNames>
    <sheetDataSet>
      <sheetData sheetId="0">
        <row r="52">
          <cell r="B52">
            <v>1521250.4468291907</v>
          </cell>
          <cell r="C52">
            <v>1992155.4322061262</v>
          </cell>
          <cell r="D52">
            <v>1561223.5204092669</v>
          </cell>
          <cell r="E52">
            <v>1709133.4840227321</v>
          </cell>
          <cell r="F52">
            <v>1794276.5472658337</v>
          </cell>
          <cell r="G52">
            <v>1664193.9164477964</v>
          </cell>
          <cell r="H52">
            <v>1722567.8942233375</v>
          </cell>
          <cell r="I52">
            <v>1774773.0179705636</v>
          </cell>
          <cell r="J52">
            <v>1814273.0193366187</v>
          </cell>
          <cell r="K52">
            <v>1772942.0603667807</v>
          </cell>
          <cell r="L52">
            <v>1696337.0334839264</v>
          </cell>
          <cell r="M52">
            <v>1676873.6274378267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ENDARIO 2020"/>
      <sheetName val="Consolidado"/>
      <sheetName val="FGP"/>
      <sheetName val="FFM"/>
      <sheetName val="FOCO"/>
      <sheetName val="IEPS TyA"/>
      <sheetName val="IEPS GyD "/>
      <sheetName val="FOFIR"/>
      <sheetName val="FOCO ISAN"/>
      <sheetName val="Incentivo ISAN"/>
      <sheetName val="Predial y Agua"/>
      <sheetName val="CENSO 2015"/>
      <sheetName val="IEPS 2014 "/>
      <sheetName val="F.G.P. 2020"/>
      <sheetName val="F.F.M.2020"/>
      <sheetName val="FOCO 2020"/>
      <sheetName val="IEPS2020"/>
      <sheetName val="IEPSGAS 2020"/>
      <sheetName val="FOFIR 2020"/>
      <sheetName val="FOCO ISAN "/>
      <sheetName val="ISAN Recaudacion"/>
      <sheetName val=" FOCO INCREMENTO"/>
      <sheetName val=" FOCO ESTIMACION"/>
      <sheetName val="FOFIR  INCREMENTO"/>
      <sheetName val="FFOR ESTIMACIONES"/>
      <sheetName val="IEPSGASINCREMENTO"/>
      <sheetName val="IEPSGAS ESTIMACIONES"/>
      <sheetName val="IEPS INCREMENTO"/>
      <sheetName val="IEPS ESTIMACIONES"/>
      <sheetName val="F.F.M30%"/>
      <sheetName val="F.F.M.70%"/>
      <sheetName val="F.F.M.ESTIIMACIONES 2014"/>
      <sheetName val="F.G.P.INCREMENTO"/>
      <sheetName val="F.G.P. ESTIMACIONES 2014"/>
      <sheetName val="Datos"/>
      <sheetName val="FGP 30%"/>
      <sheetName val="FGP 1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7">
          <cell r="C7">
            <v>71921.637981858948</v>
          </cell>
          <cell r="D7">
            <v>72714.40462331436</v>
          </cell>
          <cell r="E7">
            <v>34643.126341425232</v>
          </cell>
          <cell r="F7">
            <v>62668.386484099698</v>
          </cell>
          <cell r="G7">
            <v>43544.749119533568</v>
          </cell>
          <cell r="H7">
            <v>62200.112577045591</v>
          </cell>
          <cell r="I7">
            <v>41862.518405549519</v>
          </cell>
          <cell r="J7">
            <v>47840.912596100716</v>
          </cell>
          <cell r="K7">
            <v>51668.483252273618</v>
          </cell>
          <cell r="L7">
            <v>30189.389735093839</v>
          </cell>
          <cell r="M7">
            <v>44986.273443360027</v>
          </cell>
          <cell r="N7">
            <v>88831.860683975567</v>
          </cell>
        </row>
        <row r="8">
          <cell r="C8">
            <v>73311.131192327855</v>
          </cell>
          <cell r="D8">
            <v>74119.213723363922</v>
          </cell>
          <cell r="E8">
            <v>35312.415726254992</v>
          </cell>
          <cell r="F8">
            <v>63879.111100141701</v>
          </cell>
          <cell r="G8">
            <v>44386.013792460319</v>
          </cell>
          <cell r="H8">
            <v>63401.790354990626</v>
          </cell>
          <cell r="I8">
            <v>42671.283149093222</v>
          </cell>
          <cell r="J8">
            <v>48765.177186010173</v>
          </cell>
          <cell r="K8">
            <v>52666.69475980867</v>
          </cell>
          <cell r="L8">
            <v>30772.634962012806</v>
          </cell>
          <cell r="M8">
            <v>45855.387708104856</v>
          </cell>
          <cell r="N8">
            <v>90548.051676800824</v>
          </cell>
        </row>
        <row r="9">
          <cell r="C9">
            <v>85878.521441046003</v>
          </cell>
          <cell r="D9">
            <v>86825.129846059644</v>
          </cell>
          <cell r="E9">
            <v>41365.860842148402</v>
          </cell>
          <cell r="F9">
            <v>74829.613498346647</v>
          </cell>
          <cell r="G9">
            <v>51994.904118425045</v>
          </cell>
          <cell r="H9">
            <v>74270.467851839378</v>
          </cell>
          <cell r="I9">
            <v>49986.225082554018</v>
          </cell>
          <cell r="J9">
            <v>57124.767363887717</v>
          </cell>
          <cell r="K9">
            <v>61695.104162198317</v>
          </cell>
          <cell r="L9">
            <v>36047.846328406704</v>
          </cell>
          <cell r="M9">
            <v>53716.166050512089</v>
          </cell>
          <cell r="N9">
            <v>106070.28797538001</v>
          </cell>
        </row>
        <row r="10">
          <cell r="C10">
            <v>205489.76872183758</v>
          </cell>
          <cell r="D10">
            <v>207754.80937405623</v>
          </cell>
          <cell r="E10">
            <v>98980.059679626225</v>
          </cell>
          <cell r="F10">
            <v>179051.98777642648</v>
          </cell>
          <cell r="G10">
            <v>124413.19019848215</v>
          </cell>
          <cell r="H10">
            <v>177714.0664003409</v>
          </cell>
          <cell r="I10">
            <v>119606.8313605404</v>
          </cell>
          <cell r="J10">
            <v>136687.90562436922</v>
          </cell>
          <cell r="K10">
            <v>147623.78849597246</v>
          </cell>
          <cell r="L10">
            <v>86255.136681990058</v>
          </cell>
          <cell r="M10">
            <v>128531.81858657196</v>
          </cell>
          <cell r="N10">
            <v>253804.54365743059</v>
          </cell>
        </row>
        <row r="11">
          <cell r="C11">
            <v>111507.25115785327</v>
          </cell>
          <cell r="D11">
            <v>112736.35593742788</v>
          </cell>
          <cell r="E11">
            <v>53710.675927888537</v>
          </cell>
          <cell r="F11">
            <v>97161.017288045157</v>
          </cell>
          <cell r="G11">
            <v>67511.744906342006</v>
          </cell>
          <cell r="H11">
            <v>96435.005789562303</v>
          </cell>
          <cell r="I11">
            <v>64903.615725844356</v>
          </cell>
          <cell r="J11">
            <v>74172.513393255533</v>
          </cell>
          <cell r="K11">
            <v>80106.775938693594</v>
          </cell>
          <cell r="L11">
            <v>46805.606184087868</v>
          </cell>
          <cell r="M11">
            <v>69746.683088195103</v>
          </cell>
          <cell r="N11">
            <v>137724.84718167805</v>
          </cell>
        </row>
        <row r="12">
          <cell r="C12">
            <v>76122.317048695186</v>
          </cell>
          <cell r="D12">
            <v>76961.386281819723</v>
          </cell>
          <cell r="E12">
            <v>36666.504280466252</v>
          </cell>
          <cell r="F12">
            <v>66328.617071764587</v>
          </cell>
          <cell r="G12">
            <v>46088.038194000961</v>
          </cell>
          <cell r="H12">
            <v>65832.99300342238</v>
          </cell>
          <cell r="I12">
            <v>44307.554554414681</v>
          </cell>
          <cell r="J12">
            <v>50635.124820959565</v>
          </cell>
          <cell r="K12">
            <v>54686.249839677403</v>
          </cell>
          <cell r="L12">
            <v>31952.641255210176</v>
          </cell>
          <cell r="M12">
            <v>47613.756666088615</v>
          </cell>
          <cell r="N12">
            <v>94020.203832353407</v>
          </cell>
        </row>
        <row r="13">
          <cell r="C13">
            <v>82653.323596917879</v>
          </cell>
          <cell r="D13">
            <v>83564.381792917033</v>
          </cell>
          <cell r="E13">
            <v>39812.351501629695</v>
          </cell>
          <cell r="F13">
            <v>72019.361248050467</v>
          </cell>
          <cell r="G13">
            <v>50042.217348153725</v>
          </cell>
          <cell r="H13">
            <v>71481.214511438346</v>
          </cell>
          <cell r="I13">
            <v>48108.974954499266</v>
          </cell>
          <cell r="J13">
            <v>54979.426789122379</v>
          </cell>
          <cell r="K13">
            <v>59378.12299393522</v>
          </cell>
          <cell r="L13">
            <v>34694.056878926604</v>
          </cell>
          <cell r="M13">
            <v>51698.836687664727</v>
          </cell>
          <cell r="N13">
            <v>102086.78129217416</v>
          </cell>
        </row>
        <row r="14">
          <cell r="C14">
            <v>67392.542637064718</v>
          </cell>
          <cell r="D14">
            <v>68135.386670997919</v>
          </cell>
          <cell r="E14">
            <v>32461.557252555991</v>
          </cell>
          <cell r="F14">
            <v>58721.992805433852</v>
          </cell>
          <cell r="G14">
            <v>40802.621352959941</v>
          </cell>
          <cell r="H14">
            <v>58283.207342080968</v>
          </cell>
          <cell r="I14">
            <v>39226.325146439369</v>
          </cell>
          <cell r="J14">
            <v>44828.244077839765</v>
          </cell>
          <cell r="K14">
            <v>48414.782508841214</v>
          </cell>
          <cell r="L14">
            <v>28288.284193728385</v>
          </cell>
          <cell r="M14">
            <v>42153.369085934886</v>
          </cell>
          <cell r="N14">
            <v>83237.883989580994</v>
          </cell>
        </row>
        <row r="15">
          <cell r="C15">
            <v>69443.740981893265</v>
          </cell>
          <cell r="D15">
            <v>70209.19464581291</v>
          </cell>
          <cell r="E15">
            <v>33449.575954648695</v>
          </cell>
          <cell r="F15">
            <v>60509.289288610227</v>
          </cell>
          <cell r="G15">
            <v>42044.513498721288</v>
          </cell>
          <cell r="H15">
            <v>60057.148697509576</v>
          </cell>
          <cell r="I15">
            <v>40420.240230596333</v>
          </cell>
          <cell r="J15">
            <v>46192.66240152924</v>
          </cell>
          <cell r="K15">
            <v>49888.362787332611</v>
          </cell>
          <cell r="L15">
            <v>29149.282747065394</v>
          </cell>
          <cell r="M15">
            <v>43436.373369712455</v>
          </cell>
          <cell r="N15">
            <v>85771.360294013473</v>
          </cell>
        </row>
        <row r="16">
          <cell r="C16">
            <v>77090.478176598554</v>
          </cell>
          <cell r="D16">
            <v>77940.219105575583</v>
          </cell>
          <cell r="E16">
            <v>37132.846944704143</v>
          </cell>
          <cell r="F16">
            <v>67172.217098749985</v>
          </cell>
          <cell r="G16">
            <v>46674.208567824622</v>
          </cell>
          <cell r="H16">
            <v>66670.289439350308</v>
          </cell>
          <cell r="I16">
            <v>44871.079860201171</v>
          </cell>
          <cell r="J16">
            <v>51279.127282508758</v>
          </cell>
          <cell r="K16">
            <v>55381.776504895941</v>
          </cell>
          <cell r="L16">
            <v>32359.030687330938</v>
          </cell>
          <cell r="M16">
            <v>48219.331879045792</v>
          </cell>
          <cell r="N16">
            <v>95215.9991012994</v>
          </cell>
        </row>
        <row r="17">
          <cell r="C17">
            <v>69624.767375500349</v>
          </cell>
          <cell r="D17">
            <v>70392.216428987042</v>
          </cell>
          <cell r="E17">
            <v>33536.772525817512</v>
          </cell>
          <cell r="F17">
            <v>60667.025295696898</v>
          </cell>
          <cell r="G17">
            <v>42154.115408728161</v>
          </cell>
          <cell r="H17">
            <v>60213.706061575984</v>
          </cell>
          <cell r="I17">
            <v>40525.607974531449</v>
          </cell>
          <cell r="J17">
            <v>46313.077732953265</v>
          </cell>
          <cell r="K17">
            <v>50018.412094450257</v>
          </cell>
          <cell r="L17">
            <v>29225.269286058308</v>
          </cell>
          <cell r="M17">
            <v>43549.603589042657</v>
          </cell>
          <cell r="N17">
            <v>85994.949631357027</v>
          </cell>
        </row>
        <row r="18">
          <cell r="C18">
            <v>66507.731791109924</v>
          </cell>
          <cell r="D18">
            <v>67240.822869710712</v>
          </cell>
          <cell r="E18">
            <v>32035.362649863451</v>
          </cell>
          <cell r="F18">
            <v>57951.019429193388</v>
          </cell>
          <cell r="G18">
            <v>40266.915167916413</v>
          </cell>
          <cell r="H18">
            <v>57517.994872341886</v>
          </cell>
          <cell r="I18">
            <v>38711.314485342431</v>
          </cell>
          <cell r="J18">
            <v>44239.684646586524</v>
          </cell>
          <cell r="K18">
            <v>47779.134661288343</v>
          </cell>
          <cell r="L18">
            <v>27916.881369489249</v>
          </cell>
          <cell r="M18">
            <v>41599.928650223272</v>
          </cell>
          <cell r="N18">
            <v>82145.036329196053</v>
          </cell>
        </row>
        <row r="19">
          <cell r="C19">
            <v>77421.027611018057</v>
          </cell>
          <cell r="D19">
            <v>78274.412068873367</v>
          </cell>
          <cell r="E19">
            <v>37292.065590719547</v>
          </cell>
          <cell r="F19">
            <v>67460.23889983198</v>
          </cell>
          <cell r="G19">
            <v>46874.338773382959</v>
          </cell>
          <cell r="H19">
            <v>66956.159069271118</v>
          </cell>
          <cell r="I19">
            <v>45063.478589854974</v>
          </cell>
          <cell r="J19">
            <v>51499.002511222854</v>
          </cell>
          <cell r="K19">
            <v>55619.243119889616</v>
          </cell>
          <cell r="L19">
            <v>32497.780109374446</v>
          </cell>
          <cell r="M19">
            <v>48426.087282017768</v>
          </cell>
          <cell r="N19">
            <v>95624.267351737843</v>
          </cell>
        </row>
        <row r="20">
          <cell r="C20">
            <v>120772.649929829</v>
          </cell>
          <cell r="D20">
            <v>122103.88390546081</v>
          </cell>
          <cell r="E20">
            <v>58173.621840524793</v>
          </cell>
          <cell r="F20">
            <v>105234.35387303698</v>
          </cell>
          <cell r="G20">
            <v>73121.453977760611</v>
          </cell>
          <cell r="H20">
            <v>104448.01637802352</v>
          </cell>
          <cell r="I20">
            <v>70296.609232533199</v>
          </cell>
          <cell r="J20">
            <v>80335.681325136014</v>
          </cell>
          <cell r="K20">
            <v>86763.0356500786</v>
          </cell>
          <cell r="L20">
            <v>50694.793672403823</v>
          </cell>
          <cell r="M20">
            <v>75542.098409840124</v>
          </cell>
          <cell r="N20">
            <v>149168.72743787066</v>
          </cell>
        </row>
        <row r="21">
          <cell r="C21">
            <v>66633.610476617425</v>
          </cell>
          <cell r="D21">
            <v>67368.089071208393</v>
          </cell>
          <cell r="E21">
            <v>32095.995740656355</v>
          </cell>
          <cell r="F21">
            <v>58060.702889343229</v>
          </cell>
          <cell r="G21">
            <v>40343.12805646746</v>
          </cell>
          <cell r="H21">
            <v>57626.858750158332</v>
          </cell>
          <cell r="I21">
            <v>38784.583100140284</v>
          </cell>
          <cell r="J21">
            <v>44323.416766155249</v>
          </cell>
          <cell r="K21">
            <v>47869.565871372884</v>
          </cell>
          <cell r="L21">
            <v>27969.719441629451</v>
          </cell>
          <cell r="M21">
            <v>41678.664523401785</v>
          </cell>
          <cell r="N21">
            <v>82300.511623806335</v>
          </cell>
        </row>
        <row r="22">
          <cell r="C22">
            <v>138677.17519096044</v>
          </cell>
          <cell r="D22">
            <v>140205.76438202406</v>
          </cell>
          <cell r="E22">
            <v>66797.851600990878</v>
          </cell>
          <cell r="F22">
            <v>120835.32932860054</v>
          </cell>
          <cell r="G22">
            <v>83961.697365946122</v>
          </cell>
          <cell r="H22">
            <v>119932.41743076142</v>
          </cell>
          <cell r="I22">
            <v>80718.069857161856</v>
          </cell>
          <cell r="J22">
            <v>92245.43271745721</v>
          </cell>
          <cell r="K22">
            <v>99625.641251858979</v>
          </cell>
          <cell r="L22">
            <v>58210.288401076003</v>
          </cell>
          <cell r="M22">
            <v>86741.201932398515</v>
          </cell>
          <cell r="N22">
            <v>171282.96646577941</v>
          </cell>
        </row>
        <row r="23">
          <cell r="C23">
            <v>73776.990109242557</v>
          </cell>
          <cell r="D23">
            <v>74590.207637468862</v>
          </cell>
          <cell r="E23">
            <v>35536.810077785558</v>
          </cell>
          <cell r="F23">
            <v>64285.033816468582</v>
          </cell>
          <cell r="G23">
            <v>44668.066735515713</v>
          </cell>
          <cell r="H23">
            <v>63804.679914936743</v>
          </cell>
          <cell r="I23">
            <v>42942.439758299617</v>
          </cell>
          <cell r="J23">
            <v>49075.057721988123</v>
          </cell>
          <cell r="K23">
            <v>53001.367666627069</v>
          </cell>
          <cell r="L23">
            <v>30968.181070234841</v>
          </cell>
          <cell r="M23">
            <v>46146.777854525586</v>
          </cell>
          <cell r="N23">
            <v>91123.443388766464</v>
          </cell>
        </row>
        <row r="24">
          <cell r="C24">
            <v>552458.64732824359</v>
          </cell>
          <cell r="D24">
            <v>558548.20255355549</v>
          </cell>
          <cell r="E24">
            <v>266107.60342572705</v>
          </cell>
          <cell r="F24">
            <v>481380.74992093554</v>
          </cell>
          <cell r="G24">
            <v>334484.50107453263</v>
          </cell>
          <cell r="H24">
            <v>477783.75218104152</v>
          </cell>
          <cell r="I24">
            <v>321562.61927623325</v>
          </cell>
          <cell r="J24">
            <v>367485.03790273936</v>
          </cell>
          <cell r="K24">
            <v>396886.12729110842</v>
          </cell>
          <cell r="L24">
            <v>231896.68484638733</v>
          </cell>
          <cell r="M24">
            <v>345557.42155268969</v>
          </cell>
          <cell r="N24">
            <v>682352.77963912231</v>
          </cell>
        </row>
        <row r="25">
          <cell r="C25">
            <v>67859.928444920282</v>
          </cell>
          <cell r="D25">
            <v>68607.92430641962</v>
          </cell>
          <cell r="E25">
            <v>32686.687075041587</v>
          </cell>
          <cell r="F25">
            <v>59129.245966871356</v>
          </cell>
          <cell r="G25">
            <v>41085.598747749456</v>
          </cell>
          <cell r="H25">
            <v>58687.417405718035</v>
          </cell>
          <cell r="I25">
            <v>39498.370493748916</v>
          </cell>
          <cell r="J25">
            <v>45139.140272777884</v>
          </cell>
          <cell r="K25">
            <v>48750.552333655636</v>
          </cell>
          <cell r="L25">
            <v>28484.471220413769</v>
          </cell>
          <cell r="M25">
            <v>42445.714287542214</v>
          </cell>
          <cell r="N25">
            <v>83815.161595237936</v>
          </cell>
        </row>
        <row r="26">
          <cell r="C26">
            <v>90884.613024911858</v>
          </cell>
          <cell r="D26">
            <v>91886.401797379876</v>
          </cell>
          <cell r="E26">
            <v>43777.18889422022</v>
          </cell>
          <cell r="F26">
            <v>79191.634316499258</v>
          </cell>
          <cell r="G26">
            <v>55025.82788776177</v>
          </cell>
          <cell r="H26">
            <v>78599.894556025363</v>
          </cell>
          <cell r="I26">
            <v>52900.057511152358</v>
          </cell>
          <cell r="J26">
            <v>60454.724754071336</v>
          </cell>
          <cell r="K26">
            <v>65291.478861361349</v>
          </cell>
          <cell r="L26">
            <v>38149.172912668037</v>
          </cell>
          <cell r="M26">
            <v>56847.426839248539</v>
          </cell>
          <cell r="N26">
            <v>112253.41231219452</v>
          </cell>
        </row>
      </sheetData>
      <sheetData sheetId="22">
        <row r="7">
          <cell r="C7">
            <v>221149.74295927721</v>
          </cell>
          <cell r="D7">
            <v>222516.2298324453</v>
          </cell>
          <cell r="E7">
            <v>252825.77036195033</v>
          </cell>
          <cell r="F7">
            <v>242573.30921120683</v>
          </cell>
          <cell r="G7">
            <v>258898.84233744943</v>
          </cell>
          <cell r="H7">
            <v>248735.24449241886</v>
          </cell>
          <cell r="I7">
            <v>257861.19628767337</v>
          </cell>
          <cell r="J7">
            <v>255959.02638851784</v>
          </cell>
          <cell r="K7">
            <v>244192.50881827332</v>
          </cell>
          <cell r="L7">
            <v>257063.79269192531</v>
          </cell>
          <cell r="M7">
            <v>247583.00890387889</v>
          </cell>
          <cell r="N7">
            <v>182239.87521498336</v>
          </cell>
        </row>
        <row r="8">
          <cell r="C8">
            <v>94612.619691239321</v>
          </cell>
          <cell r="D8">
            <v>95197.232185534333</v>
          </cell>
          <cell r="E8">
            <v>108164.30595537506</v>
          </cell>
          <cell r="F8">
            <v>103778.08241844281</v>
          </cell>
          <cell r="G8">
            <v>110762.49685302953</v>
          </cell>
          <cell r="H8">
            <v>106414.29095082486</v>
          </cell>
          <cell r="I8">
            <v>110318.56954039568</v>
          </cell>
          <cell r="J8">
            <v>109504.78031844726</v>
          </cell>
          <cell r="K8">
            <v>104470.81085926128</v>
          </cell>
          <cell r="L8">
            <v>109977.42312016751</v>
          </cell>
          <cell r="M8">
            <v>105921.33976727625</v>
          </cell>
          <cell r="N8">
            <v>77966.140840005988</v>
          </cell>
        </row>
        <row r="9">
          <cell r="C9">
            <v>76618.808584316517</v>
          </cell>
          <cell r="D9">
            <v>77092.237107303881</v>
          </cell>
          <cell r="E9">
            <v>87593.180282880421</v>
          </cell>
          <cell r="F9">
            <v>84041.146498370872</v>
          </cell>
          <cell r="G9">
            <v>89697.23671533681</v>
          </cell>
          <cell r="H9">
            <v>86175.990217845901</v>
          </cell>
          <cell r="I9">
            <v>89337.73729651676</v>
          </cell>
          <cell r="J9">
            <v>88678.717803895939</v>
          </cell>
          <cell r="K9">
            <v>84602.129039401771</v>
          </cell>
          <cell r="L9">
            <v>89061.47148381664</v>
          </cell>
          <cell r="M9">
            <v>85776.790486383237</v>
          </cell>
          <cell r="N9">
            <v>63138.224483931241</v>
          </cell>
        </row>
        <row r="10">
          <cell r="C10">
            <v>443460.37695771072</v>
          </cell>
          <cell r="D10">
            <v>446200.52386348607</v>
          </cell>
          <cell r="E10">
            <v>506978.71012212604</v>
          </cell>
          <cell r="F10">
            <v>486419.96912693436</v>
          </cell>
          <cell r="G10">
            <v>519156.73371604027</v>
          </cell>
          <cell r="H10">
            <v>498776.18580632017</v>
          </cell>
          <cell r="I10">
            <v>517075.99465559697</v>
          </cell>
          <cell r="J10">
            <v>513261.66971345828</v>
          </cell>
          <cell r="K10">
            <v>489666.86807653756</v>
          </cell>
          <cell r="L10">
            <v>515477.00161845388</v>
          </cell>
          <cell r="M10">
            <v>496465.66614846047</v>
          </cell>
          <cell r="N10">
            <v>365436.39019487472</v>
          </cell>
        </row>
        <row r="11">
          <cell r="C11">
            <v>359876.22213845636</v>
          </cell>
          <cell r="D11">
            <v>362099.90156460914</v>
          </cell>
          <cell r="E11">
            <v>411422.51344989287</v>
          </cell>
          <cell r="F11">
            <v>394738.71840143891</v>
          </cell>
          <cell r="G11">
            <v>421305.20275385468</v>
          </cell>
          <cell r="H11">
            <v>404766.0146595792</v>
          </cell>
          <cell r="I11">
            <v>419616.64487757871</v>
          </cell>
          <cell r="J11">
            <v>416521.25029102637</v>
          </cell>
          <cell r="K11">
            <v>397373.63639719016</v>
          </cell>
          <cell r="L11">
            <v>418319.03272701753</v>
          </cell>
          <cell r="M11">
            <v>402890.98561786063</v>
          </cell>
          <cell r="N11">
            <v>296558.32712149521</v>
          </cell>
        </row>
        <row r="12">
          <cell r="C12">
            <v>419662.11065500637</v>
          </cell>
          <cell r="D12">
            <v>422255.20779227809</v>
          </cell>
          <cell r="E12">
            <v>479771.73745850415</v>
          </cell>
          <cell r="F12">
            <v>460316.27968425862</v>
          </cell>
          <cell r="G12">
            <v>491296.22837264027</v>
          </cell>
          <cell r="H12">
            <v>472009.40096592868</v>
          </cell>
          <cell r="I12">
            <v>489327.15201046679</v>
          </cell>
          <cell r="J12">
            <v>485717.52251679369</v>
          </cell>
          <cell r="K12">
            <v>463388.93405672337</v>
          </cell>
          <cell r="L12">
            <v>487813.9688090866</v>
          </cell>
          <cell r="M12">
            <v>469822.87516405364</v>
          </cell>
          <cell r="N12">
            <v>345825.27501425974</v>
          </cell>
        </row>
        <row r="13">
          <cell r="C13">
            <v>116089.10391563109</v>
          </cell>
          <cell r="D13">
            <v>116806.41985955134</v>
          </cell>
          <cell r="E13">
            <v>132716.93982254609</v>
          </cell>
          <cell r="F13">
            <v>127335.07045207708</v>
          </cell>
          <cell r="G13">
            <v>135904.90411414669</v>
          </cell>
          <cell r="H13">
            <v>130569.68214825136</v>
          </cell>
          <cell r="I13">
            <v>135360.20802502538</v>
          </cell>
          <cell r="J13">
            <v>134361.69364226659</v>
          </cell>
          <cell r="K13">
            <v>128185.0439990936</v>
          </cell>
          <cell r="L13">
            <v>134941.62346032824</v>
          </cell>
          <cell r="M13">
            <v>129964.83407027763</v>
          </cell>
          <cell r="N13">
            <v>95663.976490804911</v>
          </cell>
        </row>
        <row r="14">
          <cell r="C14">
            <v>154978.95372736751</v>
          </cell>
          <cell r="D14">
            <v>155936.57051250106</v>
          </cell>
          <cell r="E14">
            <v>177177.11466309906</v>
          </cell>
          <cell r="F14">
            <v>169992.31905352289</v>
          </cell>
          <cell r="G14">
            <v>181433.04699238582</v>
          </cell>
          <cell r="H14">
            <v>174310.52566791559</v>
          </cell>
          <cell r="I14">
            <v>180705.8777134089</v>
          </cell>
          <cell r="J14">
            <v>179372.86101242588</v>
          </cell>
          <cell r="K14">
            <v>171127.03373878996</v>
          </cell>
          <cell r="L14">
            <v>180147.06731953821</v>
          </cell>
          <cell r="M14">
            <v>173503.05348382064</v>
          </cell>
          <cell r="N14">
            <v>127711.40861522456</v>
          </cell>
        </row>
        <row r="15">
          <cell r="C15">
            <v>133502.46950297573</v>
          </cell>
          <cell r="D15">
            <v>134327.38283848405</v>
          </cell>
          <cell r="E15">
            <v>152624.48079592802</v>
          </cell>
          <cell r="F15">
            <v>146435.33101988863</v>
          </cell>
          <cell r="G15">
            <v>156290.63973126869</v>
          </cell>
          <cell r="H15">
            <v>150155.13447048908</v>
          </cell>
          <cell r="I15">
            <v>155664.23922877919</v>
          </cell>
          <cell r="J15">
            <v>154515.94768860657</v>
          </cell>
          <cell r="K15">
            <v>147412.80059895763</v>
          </cell>
          <cell r="L15">
            <v>155182.86697937749</v>
          </cell>
          <cell r="M15">
            <v>149459.55918081925</v>
          </cell>
          <cell r="N15">
            <v>110013.57296442564</v>
          </cell>
        </row>
        <row r="16">
          <cell r="C16">
            <v>134082.91502255391</v>
          </cell>
          <cell r="D16">
            <v>134911.41493778178</v>
          </cell>
          <cell r="E16">
            <v>153288.06549504073</v>
          </cell>
          <cell r="F16">
            <v>147072.00637214902</v>
          </cell>
          <cell r="G16">
            <v>156970.16425183942</v>
          </cell>
          <cell r="H16">
            <v>150807.98288123033</v>
          </cell>
          <cell r="I16">
            <v>156341.04026890433</v>
          </cell>
          <cell r="J16">
            <v>155187.75615681789</v>
          </cell>
          <cell r="K16">
            <v>148053.7258189531</v>
          </cell>
          <cell r="L16">
            <v>155857.57509667912</v>
          </cell>
          <cell r="M16">
            <v>150109.38335117066</v>
          </cell>
          <cell r="N16">
            <v>110491.89284687967</v>
          </cell>
        </row>
        <row r="17">
          <cell r="C17">
            <v>293124.98738696851</v>
          </cell>
          <cell r="D17">
            <v>294936.21014536713</v>
          </cell>
          <cell r="E17">
            <v>335110.2730519289</v>
          </cell>
          <cell r="F17">
            <v>321521.05289149465</v>
          </cell>
          <cell r="G17">
            <v>343159.88288822037</v>
          </cell>
          <cell r="H17">
            <v>329688.44742433471</v>
          </cell>
          <cell r="I17">
            <v>341784.52526318911</v>
          </cell>
          <cell r="J17">
            <v>339263.27644672315</v>
          </cell>
          <cell r="K17">
            <v>323667.23609771137</v>
          </cell>
          <cell r="L17">
            <v>340727.59923732886</v>
          </cell>
          <cell r="M17">
            <v>328161.20602745103</v>
          </cell>
          <cell r="N17">
            <v>241551.54063928241</v>
          </cell>
        </row>
        <row r="18">
          <cell r="C18">
            <v>149754.94405116409</v>
          </cell>
          <cell r="D18">
            <v>150680.28161882123</v>
          </cell>
          <cell r="E18">
            <v>171204.85237108447</v>
          </cell>
          <cell r="F18">
            <v>164262.24088317942</v>
          </cell>
          <cell r="G18">
            <v>175317.32630724923</v>
          </cell>
          <cell r="H18">
            <v>168434.88997124427</v>
          </cell>
          <cell r="I18">
            <v>174614.66835228275</v>
          </cell>
          <cell r="J18">
            <v>173326.58479852389</v>
          </cell>
          <cell r="K18">
            <v>165358.70675883075</v>
          </cell>
          <cell r="L18">
            <v>174074.69426382345</v>
          </cell>
          <cell r="M18">
            <v>167654.63595065812</v>
          </cell>
          <cell r="N18">
            <v>123406.52967313833</v>
          </cell>
        </row>
        <row r="19">
          <cell r="C19">
            <v>196771.03113699469</v>
          </cell>
          <cell r="D19">
            <v>197986.88166193952</v>
          </cell>
          <cell r="E19">
            <v>224955.21299921564</v>
          </cell>
          <cell r="F19">
            <v>215832.94441627062</v>
          </cell>
          <cell r="G19">
            <v>230358.81247347861</v>
          </cell>
          <cell r="H19">
            <v>221315.61124128607</v>
          </cell>
          <cell r="I19">
            <v>229435.55260241803</v>
          </cell>
          <cell r="J19">
            <v>227743.07072364184</v>
          </cell>
          <cell r="K19">
            <v>217273.64957846366</v>
          </cell>
          <cell r="L19">
            <v>228726.05176525636</v>
          </cell>
          <cell r="M19">
            <v>220290.39374912056</v>
          </cell>
          <cell r="N19">
            <v>162150.44015191431</v>
          </cell>
        </row>
        <row r="20">
          <cell r="C20">
            <v>47596.532605408749</v>
          </cell>
          <cell r="D20">
            <v>47890.632142416056</v>
          </cell>
          <cell r="E20">
            <v>54413.945327243906</v>
          </cell>
          <cell r="F20">
            <v>52207.378885351602</v>
          </cell>
          <cell r="G20">
            <v>55721.010686800146</v>
          </cell>
          <cell r="H20">
            <v>53533.569680783061</v>
          </cell>
          <cell r="I20">
            <v>55497.685290260415</v>
          </cell>
          <cell r="J20">
            <v>55088.294393329299</v>
          </cell>
          <cell r="K20">
            <v>52555.868039628382</v>
          </cell>
          <cell r="L20">
            <v>55326.065618734581</v>
          </cell>
          <cell r="M20">
            <v>53285.581968813829</v>
          </cell>
          <cell r="N20">
            <v>39222.230361230017</v>
          </cell>
        </row>
        <row r="21">
          <cell r="C21">
            <v>131761.13294424128</v>
          </cell>
          <cell r="D21">
            <v>132575.28654059078</v>
          </cell>
          <cell r="E21">
            <v>150633.72669858983</v>
          </cell>
          <cell r="F21">
            <v>144525.30496310748</v>
          </cell>
          <cell r="G21">
            <v>154252.06616955649</v>
          </cell>
          <cell r="H21">
            <v>148196.5892382653</v>
          </cell>
          <cell r="I21">
            <v>153633.83610840383</v>
          </cell>
          <cell r="J21">
            <v>152500.52228397259</v>
          </cell>
          <cell r="K21">
            <v>145490.02493897124</v>
          </cell>
          <cell r="L21">
            <v>153158.74262747256</v>
          </cell>
          <cell r="M21">
            <v>147510.08666976512</v>
          </cell>
          <cell r="N21">
            <v>108578.61331706357</v>
          </cell>
        </row>
        <row r="22">
          <cell r="C22">
            <v>498602.70131763554</v>
          </cell>
          <cell r="D22">
            <v>501683.57329677301</v>
          </cell>
          <cell r="E22">
            <v>570019.25653783546</v>
          </cell>
          <cell r="F22">
            <v>546904.12759167107</v>
          </cell>
          <cell r="G22">
            <v>583711.56317026005</v>
          </cell>
          <cell r="H22">
            <v>560796.78482673969</v>
          </cell>
          <cell r="I22">
            <v>581372.09346748411</v>
          </cell>
          <cell r="J22">
            <v>577083.47419353493</v>
          </cell>
          <cell r="K22">
            <v>550554.763976107</v>
          </cell>
          <cell r="L22">
            <v>579574.27276210987</v>
          </cell>
          <cell r="M22">
            <v>558198.9623318424</v>
          </cell>
          <cell r="N22">
            <v>410876.77902800712</v>
          </cell>
        </row>
        <row r="23">
          <cell r="C23">
            <v>264102.71140806068</v>
          </cell>
          <cell r="D23">
            <v>265734.6051804793</v>
          </cell>
          <cell r="E23">
            <v>301931.03809629235</v>
          </cell>
          <cell r="F23">
            <v>289687.28527847532</v>
          </cell>
          <cell r="G23">
            <v>309183.65685968369</v>
          </cell>
          <cell r="H23">
            <v>297046.02688727184</v>
          </cell>
          <cell r="I23">
            <v>307944.47325693275</v>
          </cell>
          <cell r="J23">
            <v>305672.85303615645</v>
          </cell>
          <cell r="K23">
            <v>291620.97509793792</v>
          </cell>
          <cell r="L23">
            <v>306992.19337224675</v>
          </cell>
          <cell r="M23">
            <v>295669.99750988156</v>
          </cell>
          <cell r="N23">
            <v>217635.54651658115</v>
          </cell>
        </row>
        <row r="24">
          <cell r="C24">
            <v>1684452.897815807</v>
          </cell>
          <cell r="D24">
            <v>1694861.1521620899</v>
          </cell>
          <cell r="E24">
            <v>1925722.796825144</v>
          </cell>
          <cell r="F24">
            <v>1847631.8722596385</v>
          </cell>
          <cell r="G24">
            <v>1971980.1586962685</v>
          </cell>
          <cell r="H24">
            <v>1894566.0879711274</v>
          </cell>
          <cell r="I24">
            <v>1964076.6184431184</v>
          </cell>
          <cell r="J24">
            <v>1949588.1747492882</v>
          </cell>
          <cell r="K24">
            <v>1859964.9884268483</v>
          </cell>
          <cell r="L24">
            <v>1958002.9564093628</v>
          </cell>
          <cell r="M24">
            <v>1885789.7423597283</v>
          </cell>
          <cell r="N24">
            <v>1388084.2988815792</v>
          </cell>
        </row>
        <row r="25">
          <cell r="C25">
            <v>158461.62684483643</v>
          </cell>
          <cell r="D25">
            <v>159440.76310828759</v>
          </cell>
          <cell r="E25">
            <v>181158.62285777542</v>
          </cell>
          <cell r="F25">
            <v>173812.37116708522</v>
          </cell>
          <cell r="G25">
            <v>185510.19411581021</v>
          </cell>
          <cell r="H25">
            <v>178227.61613236312</v>
          </cell>
          <cell r="I25">
            <v>184766.68395415967</v>
          </cell>
          <cell r="J25">
            <v>183403.7118216939</v>
          </cell>
          <cell r="K25">
            <v>174972.58505876278</v>
          </cell>
          <cell r="L25">
            <v>184195.31602334807</v>
          </cell>
          <cell r="M25">
            <v>177401.99850592896</v>
          </cell>
          <cell r="N25">
            <v>130581.3279099487</v>
          </cell>
        </row>
        <row r="26">
          <cell r="C26">
            <v>225793.30711590243</v>
          </cell>
          <cell r="D26">
            <v>227188.48662682733</v>
          </cell>
          <cell r="E26">
            <v>258134.44795485213</v>
          </cell>
          <cell r="F26">
            <v>247666.71202928989</v>
          </cell>
          <cell r="G26">
            <v>264335.03850201529</v>
          </cell>
          <cell r="H26">
            <v>253958.0317783489</v>
          </cell>
          <cell r="I26">
            <v>263275.60460867436</v>
          </cell>
          <cell r="J26">
            <v>261333.49413420848</v>
          </cell>
          <cell r="K26">
            <v>249319.91057823703</v>
          </cell>
          <cell r="L26">
            <v>262461.45763033844</v>
          </cell>
          <cell r="M26">
            <v>252781.60226668997</v>
          </cell>
          <cell r="N26">
            <v>186066.43427461552</v>
          </cell>
        </row>
      </sheetData>
      <sheetData sheetId="23">
        <row r="7">
          <cell r="C7">
            <v>11802.679292037985</v>
          </cell>
          <cell r="D7">
            <v>1333.2292221198138</v>
          </cell>
          <cell r="E7">
            <v>1333.2292221198138</v>
          </cell>
          <cell r="F7">
            <v>18204.517099508423</v>
          </cell>
          <cell r="G7">
            <v>1333.2292221198138</v>
          </cell>
          <cell r="H7">
            <v>1333.2292221198138</v>
          </cell>
          <cell r="I7">
            <v>15264.771092395671</v>
          </cell>
          <cell r="J7">
            <v>1333.2292221198127</v>
          </cell>
          <cell r="K7">
            <v>1333.2292221198127</v>
          </cell>
          <cell r="L7">
            <v>13985.991384813668</v>
          </cell>
          <cell r="M7">
            <v>1333.2292221198115</v>
          </cell>
          <cell r="N7">
            <v>1333.2292221198115</v>
          </cell>
        </row>
        <row r="8">
          <cell r="C8">
            <v>2925.5296800196288</v>
          </cell>
          <cell r="D8">
            <v>330.46747802528074</v>
          </cell>
          <cell r="E8">
            <v>330.46747802528074</v>
          </cell>
          <cell r="F8">
            <v>4512.3529808154808</v>
          </cell>
          <cell r="G8">
            <v>330.46747802528074</v>
          </cell>
          <cell r="H8">
            <v>330.46747802528074</v>
          </cell>
          <cell r="I8">
            <v>3783.6782466532745</v>
          </cell>
          <cell r="J8">
            <v>330.46747802528034</v>
          </cell>
          <cell r="K8">
            <v>330.46747802528034</v>
          </cell>
          <cell r="L8">
            <v>3466.7071677846229</v>
          </cell>
          <cell r="M8">
            <v>330.46747802528006</v>
          </cell>
          <cell r="N8">
            <v>330.46747802528006</v>
          </cell>
        </row>
        <row r="9">
          <cell r="C9">
            <v>1106.3412555767009</v>
          </cell>
          <cell r="D9">
            <v>124.97217412038073</v>
          </cell>
          <cell r="E9">
            <v>124.97217412038073</v>
          </cell>
          <cell r="F9">
            <v>1706.4268041769351</v>
          </cell>
          <cell r="G9">
            <v>124.97217412038073</v>
          </cell>
          <cell r="H9">
            <v>124.97217412038073</v>
          </cell>
          <cell r="I9">
            <v>1430.8654500037569</v>
          </cell>
          <cell r="J9">
            <v>124.97217412038063</v>
          </cell>
          <cell r="K9">
            <v>124.97217412038063</v>
          </cell>
          <cell r="L9">
            <v>1310.9971800723122</v>
          </cell>
          <cell r="M9">
            <v>124.9721741203805</v>
          </cell>
          <cell r="N9">
            <v>124.9721741203805</v>
          </cell>
        </row>
        <row r="10">
          <cell r="C10">
            <v>1244975.8797058584</v>
          </cell>
          <cell r="D10">
            <v>140632.32445686206</v>
          </cell>
          <cell r="E10">
            <v>140632.32445686206</v>
          </cell>
          <cell r="F10">
            <v>1920257.6067512033</v>
          </cell>
          <cell r="G10">
            <v>140632.32445686206</v>
          </cell>
          <cell r="H10">
            <v>140632.32445686206</v>
          </cell>
          <cell r="I10">
            <v>1610165.9080141254</v>
          </cell>
          <cell r="J10">
            <v>140632.32445686191</v>
          </cell>
          <cell r="K10">
            <v>140632.32445686191</v>
          </cell>
          <cell r="L10">
            <v>1475277.0533732229</v>
          </cell>
          <cell r="M10">
            <v>140632.3244568618</v>
          </cell>
          <cell r="N10">
            <v>140632.3244568618</v>
          </cell>
        </row>
        <row r="11">
          <cell r="C11">
            <v>55699.534132124987</v>
          </cell>
          <cell r="D11">
            <v>6291.8126237238803</v>
          </cell>
          <cell r="E11">
            <v>6291.8126237238803</v>
          </cell>
          <cell r="F11">
            <v>85911.266116241008</v>
          </cell>
          <cell r="G11">
            <v>6291.8126237238803</v>
          </cell>
          <cell r="H11">
            <v>6291.8126237238803</v>
          </cell>
          <cell r="I11">
            <v>72037.934560632741</v>
          </cell>
          <cell r="J11">
            <v>6291.8126237238748</v>
          </cell>
          <cell r="K11">
            <v>6291.8126237238748</v>
          </cell>
          <cell r="L11">
            <v>66003.081608389752</v>
          </cell>
          <cell r="M11">
            <v>6291.8126237238675</v>
          </cell>
          <cell r="N11">
            <v>6291.8126237238675</v>
          </cell>
        </row>
        <row r="12">
          <cell r="C12">
            <v>138.9651749087565</v>
          </cell>
          <cell r="D12">
            <v>15.697489312475769</v>
          </cell>
          <cell r="E12">
            <v>15.697489312475769</v>
          </cell>
          <cell r="F12">
            <v>214.34064590480065</v>
          </cell>
          <cell r="G12">
            <v>15.697489312475769</v>
          </cell>
          <cell r="H12">
            <v>15.697489312475769</v>
          </cell>
          <cell r="I12">
            <v>179.7279695829651</v>
          </cell>
          <cell r="J12">
            <v>15.697489312475755</v>
          </cell>
          <cell r="K12">
            <v>15.697489312475755</v>
          </cell>
          <cell r="L12">
            <v>164.67157083342175</v>
          </cell>
          <cell r="M12">
            <v>15.697489312475739</v>
          </cell>
          <cell r="N12">
            <v>15.697489312475739</v>
          </cell>
        </row>
        <row r="13">
          <cell r="C13">
            <v>32.849495233388772</v>
          </cell>
          <cell r="D13">
            <v>3.7106749995811463</v>
          </cell>
          <cell r="E13">
            <v>3.7106749995811463</v>
          </cell>
          <cell r="F13">
            <v>50.667241131414954</v>
          </cell>
          <cell r="G13">
            <v>3.7106749995811463</v>
          </cell>
          <cell r="H13">
            <v>3.7106749995811463</v>
          </cell>
          <cell r="I13">
            <v>42.485270744981669</v>
          </cell>
          <cell r="J13">
            <v>3.7106749995811428</v>
          </cell>
          <cell r="K13">
            <v>3.7106749995811428</v>
          </cell>
          <cell r="L13">
            <v>38.926140917815466</v>
          </cell>
          <cell r="M13">
            <v>3.7106749995811397</v>
          </cell>
          <cell r="N13">
            <v>3.7106749995811397</v>
          </cell>
        </row>
        <row r="14">
          <cell r="C14">
            <v>9699.6117410109109</v>
          </cell>
          <cell r="D14">
            <v>1095.6669664875083</v>
          </cell>
          <cell r="E14">
            <v>1095.6669664875083</v>
          </cell>
          <cell r="F14">
            <v>14960.734205236215</v>
          </cell>
          <cell r="G14">
            <v>1095.6669664875083</v>
          </cell>
          <cell r="H14">
            <v>1095.6669664875083</v>
          </cell>
          <cell r="I14">
            <v>12544.808619135061</v>
          </cell>
          <cell r="J14">
            <v>1095.6669664875074</v>
          </cell>
          <cell r="K14">
            <v>1095.6669664875074</v>
          </cell>
          <cell r="L14">
            <v>11493.889047492006</v>
          </cell>
          <cell r="M14">
            <v>1095.6669664875062</v>
          </cell>
          <cell r="N14">
            <v>1095.6669664875062</v>
          </cell>
        </row>
        <row r="15">
          <cell r="C15">
            <v>1794.2560512298369</v>
          </cell>
          <cell r="D15">
            <v>202.67894604902614</v>
          </cell>
          <cell r="E15">
            <v>202.67894604902614</v>
          </cell>
          <cell r="F15">
            <v>2767.4703478170991</v>
          </cell>
          <cell r="G15">
            <v>202.67894604902614</v>
          </cell>
          <cell r="H15">
            <v>202.67894604902614</v>
          </cell>
          <cell r="I15">
            <v>2320.5669852984665</v>
          </cell>
          <cell r="J15">
            <v>202.67894604902594</v>
          </cell>
          <cell r="K15">
            <v>202.67894604902594</v>
          </cell>
          <cell r="L15">
            <v>2126.1655132473907</v>
          </cell>
          <cell r="M15">
            <v>202.67894604902577</v>
          </cell>
          <cell r="N15">
            <v>202.67894604902577</v>
          </cell>
        </row>
        <row r="16">
          <cell r="C16">
            <v>956.44082925869373</v>
          </cell>
          <cell r="D16">
            <v>108.03944013427608</v>
          </cell>
          <cell r="E16">
            <v>108.03944013427608</v>
          </cell>
          <cell r="F16">
            <v>1475.2195666837808</v>
          </cell>
          <cell r="G16">
            <v>108.03944013427608</v>
          </cell>
          <cell r="H16">
            <v>108.03944013427608</v>
          </cell>
          <cell r="I16">
            <v>1236.9945807054185</v>
          </cell>
          <cell r="J16">
            <v>108.03944013427599</v>
          </cell>
          <cell r="K16">
            <v>108.03944013427599</v>
          </cell>
          <cell r="L16">
            <v>1133.3675064033994</v>
          </cell>
          <cell r="M16">
            <v>108.03944013427588</v>
          </cell>
          <cell r="N16">
            <v>108.03944013427588</v>
          </cell>
        </row>
        <row r="17">
          <cell r="C17">
            <v>2237.4399203439448</v>
          </cell>
          <cell r="D17">
            <v>252.74094218185729</v>
          </cell>
          <cell r="E17">
            <v>252.74094218185729</v>
          </cell>
          <cell r="F17">
            <v>3451.0395717099036</v>
          </cell>
          <cell r="G17">
            <v>252.74094218185729</v>
          </cell>
          <cell r="H17">
            <v>252.74094218185729</v>
          </cell>
          <cell r="I17">
            <v>2893.7504249631193</v>
          </cell>
          <cell r="J17">
            <v>252.74094218185704</v>
          </cell>
          <cell r="K17">
            <v>252.74094218185704</v>
          </cell>
          <cell r="L17">
            <v>2651.3315049641765</v>
          </cell>
          <cell r="M17">
            <v>252.74094218185678</v>
          </cell>
          <cell r="N17">
            <v>252.74094218185678</v>
          </cell>
        </row>
        <row r="18">
          <cell r="C18">
            <v>1882.0442495433008</v>
          </cell>
          <cell r="D18">
            <v>212.59549028891877</v>
          </cell>
          <cell r="E18">
            <v>212.59549028891877</v>
          </cell>
          <cell r="F18">
            <v>2902.8753450884037</v>
          </cell>
          <cell r="G18">
            <v>212.59549028891877</v>
          </cell>
          <cell r="H18">
            <v>212.59549028891877</v>
          </cell>
          <cell r="I18">
            <v>2434.1061842134841</v>
          </cell>
          <cell r="J18">
            <v>212.59549028891854</v>
          </cell>
          <cell r="K18">
            <v>212.59549028891854</v>
          </cell>
          <cell r="L18">
            <v>2230.1931628107141</v>
          </cell>
          <cell r="M18">
            <v>212.59549028891837</v>
          </cell>
          <cell r="N18">
            <v>212.59549028891837</v>
          </cell>
        </row>
        <row r="19">
          <cell r="C19">
            <v>8275.3171154588399</v>
          </cell>
          <cell r="D19">
            <v>934.77881823669441</v>
          </cell>
          <cell r="E19">
            <v>934.77881823669441</v>
          </cell>
          <cell r="F19">
            <v>12763.894384036301</v>
          </cell>
          <cell r="G19">
            <v>934.77881823669441</v>
          </cell>
          <cell r="H19">
            <v>934.77881823669441</v>
          </cell>
          <cell r="I19">
            <v>10702.724217007106</v>
          </cell>
          <cell r="J19">
            <v>934.7788182366935</v>
          </cell>
          <cell r="K19">
            <v>934.7788182366935</v>
          </cell>
          <cell r="L19">
            <v>9806.1220693749547</v>
          </cell>
          <cell r="M19">
            <v>934.77881823669259</v>
          </cell>
          <cell r="N19">
            <v>934.77881823669259</v>
          </cell>
        </row>
        <row r="20">
          <cell r="C20">
            <v>385.57696469017583</v>
          </cell>
          <cell r="D20">
            <v>43.554727192154196</v>
          </cell>
          <cell r="E20">
            <v>43.554727192154196</v>
          </cell>
          <cell r="F20">
            <v>594.71601940535652</v>
          </cell>
          <cell r="G20">
            <v>43.554727192154196</v>
          </cell>
          <cell r="H20">
            <v>43.554727192154196</v>
          </cell>
          <cell r="I20">
            <v>498.67864396406583</v>
          </cell>
          <cell r="J20">
            <v>43.554727192154161</v>
          </cell>
          <cell r="K20">
            <v>43.554727192154161</v>
          </cell>
          <cell r="L20">
            <v>456.90270597941856</v>
          </cell>
          <cell r="M20">
            <v>43.554727192154111</v>
          </cell>
          <cell r="N20">
            <v>43.554727192154111</v>
          </cell>
        </row>
        <row r="21">
          <cell r="C21">
            <v>3033.5262229373875</v>
          </cell>
          <cell r="D21">
            <v>342.66675442203945</v>
          </cell>
          <cell r="E21">
            <v>342.66675442203945</v>
          </cell>
          <cell r="F21">
            <v>4678.9274393420628</v>
          </cell>
          <cell r="G21">
            <v>342.66675442203945</v>
          </cell>
          <cell r="H21">
            <v>342.66675442203945</v>
          </cell>
          <cell r="I21">
            <v>3923.3535242423018</v>
          </cell>
          <cell r="J21">
            <v>342.66675442203916</v>
          </cell>
          <cell r="K21">
            <v>342.66675442203916</v>
          </cell>
          <cell r="L21">
            <v>3594.6813913879332</v>
          </cell>
          <cell r="M21">
            <v>342.66675442203882</v>
          </cell>
          <cell r="N21">
            <v>342.66675442203882</v>
          </cell>
        </row>
        <row r="22">
          <cell r="C22">
            <v>44777.055096520409</v>
          </cell>
          <cell r="D22">
            <v>5058.0107158738028</v>
          </cell>
          <cell r="E22">
            <v>5058.0107158738028</v>
          </cell>
          <cell r="F22">
            <v>69064.374706862378</v>
          </cell>
          <cell r="G22">
            <v>5058.0107158738028</v>
          </cell>
          <cell r="H22">
            <v>5058.0107158738028</v>
          </cell>
          <cell r="I22">
            <v>57911.553752126914</v>
          </cell>
          <cell r="J22">
            <v>5058.0107158737983</v>
          </cell>
          <cell r="K22">
            <v>5058.0107158737983</v>
          </cell>
          <cell r="L22">
            <v>53060.113837010453</v>
          </cell>
          <cell r="M22">
            <v>5058.0107158737928</v>
          </cell>
          <cell r="N22">
            <v>5058.0107158737928</v>
          </cell>
        </row>
        <row r="23">
          <cell r="C23">
            <v>4866.0556540996013</v>
          </cell>
          <cell r="D23">
            <v>549.66905682876666</v>
          </cell>
          <cell r="E23">
            <v>549.66905682876666</v>
          </cell>
          <cell r="F23">
            <v>7505.4308577184011</v>
          </cell>
          <cell r="G23">
            <v>549.66905682876666</v>
          </cell>
          <cell r="H23">
            <v>549.66905682876666</v>
          </cell>
          <cell r="I23">
            <v>6293.4206585445754</v>
          </cell>
          <cell r="J23">
            <v>549.6690568287662</v>
          </cell>
          <cell r="K23">
            <v>549.6690568287662</v>
          </cell>
          <cell r="L23">
            <v>5766.200264559543</v>
          </cell>
          <cell r="M23">
            <v>549.66905682876563</v>
          </cell>
          <cell r="N23">
            <v>549.66905682876563</v>
          </cell>
        </row>
        <row r="24">
          <cell r="C24">
            <v>2915992.3911505365</v>
          </cell>
          <cell r="D24">
            <v>329390.14703072852</v>
          </cell>
          <cell r="E24">
            <v>329390.14703072852</v>
          </cell>
          <cell r="F24">
            <v>4497642.6142957816</v>
          </cell>
          <cell r="G24">
            <v>329390.14703072852</v>
          </cell>
          <cell r="H24">
            <v>329390.14703072852</v>
          </cell>
          <cell r="I24">
            <v>3771343.3752375138</v>
          </cell>
          <cell r="J24">
            <v>329390.14703072817</v>
          </cell>
          <cell r="K24">
            <v>329390.14703072817</v>
          </cell>
          <cell r="L24">
            <v>3455405.6288156207</v>
          </cell>
          <cell r="M24">
            <v>329390.14703072788</v>
          </cell>
          <cell r="N24">
            <v>329390.14703072788</v>
          </cell>
        </row>
        <row r="25">
          <cell r="C25">
            <v>2249.6874019223055</v>
          </cell>
          <cell r="D25">
            <v>254.12441621632158</v>
          </cell>
          <cell r="E25">
            <v>254.12441621632158</v>
          </cell>
          <cell r="F25">
            <v>3469.9301542888597</v>
          </cell>
          <cell r="G25">
            <v>254.12441621632158</v>
          </cell>
          <cell r="H25">
            <v>254.12441621632158</v>
          </cell>
          <cell r="I25">
            <v>2909.5904726443368</v>
          </cell>
          <cell r="J25">
            <v>254.12441621632132</v>
          </cell>
          <cell r="K25">
            <v>254.12441621632132</v>
          </cell>
          <cell r="L25">
            <v>2665.8445801399271</v>
          </cell>
          <cell r="M25">
            <v>254.12441621632112</v>
          </cell>
          <cell r="N25">
            <v>254.12441621632112</v>
          </cell>
        </row>
        <row r="26">
          <cell r="C26">
            <v>61269.338825918327</v>
          </cell>
          <cell r="D26">
            <v>6920.9770867687066</v>
          </cell>
          <cell r="E26">
            <v>6920.9770867687066</v>
          </cell>
          <cell r="F26">
            <v>94502.16334221953</v>
          </cell>
          <cell r="G26">
            <v>6920.9770867687066</v>
          </cell>
          <cell r="H26">
            <v>6920.9770867687066</v>
          </cell>
          <cell r="I26">
            <v>79241.535673259888</v>
          </cell>
          <cell r="J26">
            <v>6920.9770867687012</v>
          </cell>
          <cell r="K26">
            <v>6920.9770867687012</v>
          </cell>
          <cell r="L26">
            <v>72603.21353903017</v>
          </cell>
          <cell r="M26">
            <v>6920.9770867686939</v>
          </cell>
          <cell r="N26">
            <v>6920.9770867686939</v>
          </cell>
        </row>
      </sheetData>
      <sheetData sheetId="24">
        <row r="7">
          <cell r="C7">
            <v>154257.12253206508</v>
          </cell>
          <cell r="D7">
            <v>120162.95703191035</v>
          </cell>
          <cell r="E7">
            <v>120162.95703191035</v>
          </cell>
          <cell r="F7">
            <v>181543.94365766429</v>
          </cell>
          <cell r="G7">
            <v>120162.95703191035</v>
          </cell>
          <cell r="H7">
            <v>120162.95703191035</v>
          </cell>
          <cell r="I7">
            <v>152643.60360410286</v>
          </cell>
          <cell r="J7">
            <v>120162.95703191037</v>
          </cell>
          <cell r="K7">
            <v>120162.95703191037</v>
          </cell>
          <cell r="L7">
            <v>159154.33645088488</v>
          </cell>
          <cell r="M7">
            <v>120162.9570319104</v>
          </cell>
          <cell r="N7">
            <v>120162.9570319104</v>
          </cell>
        </row>
        <row r="8">
          <cell r="C8">
            <v>62970.715773363561</v>
          </cell>
          <cell r="D8">
            <v>49052.82355549217</v>
          </cell>
          <cell r="E8">
            <v>49052.82355549217</v>
          </cell>
          <cell r="F8">
            <v>74109.719465731454</v>
          </cell>
          <cell r="G8">
            <v>49052.82355549217</v>
          </cell>
          <cell r="H8">
            <v>49052.82355549217</v>
          </cell>
          <cell r="I8">
            <v>62312.046402770757</v>
          </cell>
          <cell r="J8">
            <v>49052.823555492178</v>
          </cell>
          <cell r="K8">
            <v>49052.823555492178</v>
          </cell>
          <cell r="L8">
            <v>64969.852414196837</v>
          </cell>
          <cell r="M8">
            <v>49052.823555492192</v>
          </cell>
          <cell r="N8">
            <v>49052.823555492192</v>
          </cell>
        </row>
        <row r="9">
          <cell r="C9">
            <v>46065.825632863278</v>
          </cell>
          <cell r="D9">
            <v>35884.280319118436</v>
          </cell>
          <cell r="E9">
            <v>35884.280319118436</v>
          </cell>
          <cell r="F9">
            <v>54214.492763521666</v>
          </cell>
          <cell r="G9">
            <v>35884.280319118436</v>
          </cell>
          <cell r="H9">
            <v>35884.280319118436</v>
          </cell>
          <cell r="I9">
            <v>45583.980254375922</v>
          </cell>
          <cell r="J9">
            <v>35884.280319118443</v>
          </cell>
          <cell r="K9">
            <v>35884.280319118443</v>
          </cell>
          <cell r="L9">
            <v>47528.281296291651</v>
          </cell>
          <cell r="M9">
            <v>35884.28031911845</v>
          </cell>
          <cell r="N9">
            <v>35884.28031911845</v>
          </cell>
        </row>
        <row r="10">
          <cell r="C10">
            <v>372752.82759803126</v>
          </cell>
          <cell r="D10">
            <v>290366.37836204091</v>
          </cell>
          <cell r="E10">
            <v>290366.37836204091</v>
          </cell>
          <cell r="F10">
            <v>438689.74878372578</v>
          </cell>
          <cell r="G10">
            <v>290366.37836204091</v>
          </cell>
          <cell r="H10">
            <v>290366.37836204091</v>
          </cell>
          <cell r="I10">
            <v>368853.85857210611</v>
          </cell>
          <cell r="J10">
            <v>290366.37836204097</v>
          </cell>
          <cell r="K10">
            <v>290366.37836204097</v>
          </cell>
          <cell r="L10">
            <v>384586.6431498095</v>
          </cell>
          <cell r="M10">
            <v>290366.37836204102</v>
          </cell>
          <cell r="N10">
            <v>290366.37836204102</v>
          </cell>
        </row>
        <row r="11">
          <cell r="C11">
            <v>280198.55407879222</v>
          </cell>
          <cell r="D11">
            <v>218268.60414289468</v>
          </cell>
          <cell r="E11">
            <v>218268.60414289468</v>
          </cell>
          <cell r="F11">
            <v>329763.38258912717</v>
          </cell>
          <cell r="G11">
            <v>218268.60414289468</v>
          </cell>
          <cell r="H11">
            <v>218268.60414289468</v>
          </cell>
          <cell r="I11">
            <v>277267.69640964438</v>
          </cell>
          <cell r="J11">
            <v>218268.60414289474</v>
          </cell>
          <cell r="K11">
            <v>218268.60414289474</v>
          </cell>
          <cell r="L11">
            <v>289094.04127927852</v>
          </cell>
          <cell r="M11">
            <v>218268.60414289479</v>
          </cell>
          <cell r="N11">
            <v>218268.60414289479</v>
          </cell>
        </row>
        <row r="12">
          <cell r="C12">
            <v>136084.36563102729</v>
          </cell>
          <cell r="D12">
            <v>106006.77305280858</v>
          </cell>
          <cell r="E12">
            <v>106006.77305280858</v>
          </cell>
          <cell r="F12">
            <v>160156.57495278877</v>
          </cell>
          <cell r="G12">
            <v>106006.77305280858</v>
          </cell>
          <cell r="H12">
            <v>106006.77305280858</v>
          </cell>
          <cell r="I12">
            <v>134660.93249457842</v>
          </cell>
          <cell r="J12">
            <v>106006.7730528086</v>
          </cell>
          <cell r="K12">
            <v>106006.7730528086</v>
          </cell>
          <cell r="L12">
            <v>140404.6474991368</v>
          </cell>
          <cell r="M12">
            <v>106006.77305280862</v>
          </cell>
          <cell r="N12">
            <v>106006.77305280862</v>
          </cell>
        </row>
        <row r="13">
          <cell r="C13">
            <v>46911.070139888296</v>
          </cell>
          <cell r="D13">
            <v>36542.707480937126</v>
          </cell>
          <cell r="E13">
            <v>36542.707480937126</v>
          </cell>
          <cell r="F13">
            <v>55209.254098632155</v>
          </cell>
          <cell r="G13">
            <v>36542.707480937126</v>
          </cell>
          <cell r="H13">
            <v>36542.707480937126</v>
          </cell>
          <cell r="I13">
            <v>46420.383561795665</v>
          </cell>
          <cell r="J13">
            <v>36542.707480937126</v>
          </cell>
          <cell r="K13">
            <v>36542.707480937126</v>
          </cell>
          <cell r="L13">
            <v>48400.359852186913</v>
          </cell>
          <cell r="M13">
            <v>36542.707480937141</v>
          </cell>
          <cell r="N13">
            <v>36542.707480937141</v>
          </cell>
        </row>
        <row r="14">
          <cell r="C14">
            <v>114530.63070188943</v>
          </cell>
          <cell r="D14">
            <v>89216.880426432064</v>
          </cell>
          <cell r="E14">
            <v>89216.880426432064</v>
          </cell>
          <cell r="F14">
            <v>134790.16090747129</v>
          </cell>
          <cell r="G14">
            <v>89216.880426432064</v>
          </cell>
          <cell r="H14">
            <v>89216.880426432064</v>
          </cell>
          <cell r="I14">
            <v>113332.64815537501</v>
          </cell>
          <cell r="J14">
            <v>89216.880426432079</v>
          </cell>
          <cell r="K14">
            <v>89216.880426432079</v>
          </cell>
          <cell r="L14">
            <v>118166.64432380768</v>
          </cell>
          <cell r="M14">
            <v>89216.880426432108</v>
          </cell>
          <cell r="N14">
            <v>89216.880426432108</v>
          </cell>
        </row>
        <row r="15">
          <cell r="C15">
            <v>71423.160843613703</v>
          </cell>
          <cell r="D15">
            <v>55637.095173679038</v>
          </cell>
          <cell r="E15">
            <v>55637.095173679038</v>
          </cell>
          <cell r="F15">
            <v>84057.332816836337</v>
          </cell>
          <cell r="G15">
            <v>55637.095173679038</v>
          </cell>
          <cell r="H15">
            <v>55637.095173679038</v>
          </cell>
          <cell r="I15">
            <v>70676.079476968167</v>
          </cell>
          <cell r="J15">
            <v>55637.095173679045</v>
          </cell>
          <cell r="K15">
            <v>55637.095173679045</v>
          </cell>
          <cell r="L15">
            <v>73690.637973149423</v>
          </cell>
          <cell r="M15">
            <v>55637.095173679059</v>
          </cell>
          <cell r="N15">
            <v>55637.095173679059</v>
          </cell>
        </row>
        <row r="16">
          <cell r="C16">
            <v>53673.026196088402</v>
          </cell>
          <cell r="D16">
            <v>41810.124775486613</v>
          </cell>
          <cell r="E16">
            <v>41810.124775486613</v>
          </cell>
          <cell r="F16">
            <v>63167.344779516068</v>
          </cell>
          <cell r="G16">
            <v>41810.124775486613</v>
          </cell>
          <cell r="H16">
            <v>41810.124775486613</v>
          </cell>
          <cell r="I16">
            <v>53111.610021153596</v>
          </cell>
          <cell r="J16">
            <v>41810.12477548662</v>
          </cell>
          <cell r="K16">
            <v>41810.12477548662</v>
          </cell>
          <cell r="L16">
            <v>55376.988299348981</v>
          </cell>
          <cell r="M16">
            <v>41810.124775486634</v>
          </cell>
          <cell r="N16">
            <v>41810.124775486634</v>
          </cell>
        </row>
        <row r="17">
          <cell r="C17">
            <v>143268.9439407399</v>
          </cell>
          <cell r="D17">
            <v>111603.40392826742</v>
          </cell>
          <cell r="E17">
            <v>111603.40392826742</v>
          </cell>
          <cell r="F17">
            <v>168612.04630122794</v>
          </cell>
          <cell r="G17">
            <v>111603.40392826742</v>
          </cell>
          <cell r="H17">
            <v>111603.40392826742</v>
          </cell>
          <cell r="I17">
            <v>141770.36060764623</v>
          </cell>
          <cell r="J17">
            <v>111603.40392826743</v>
          </cell>
          <cell r="K17">
            <v>111603.40392826743</v>
          </cell>
          <cell r="L17">
            <v>147817.3152242465</v>
          </cell>
          <cell r="M17">
            <v>111603.40392826746</v>
          </cell>
          <cell r="N17">
            <v>111603.40392826746</v>
          </cell>
        </row>
        <row r="18">
          <cell r="C18">
            <v>93399.518026264079</v>
          </cell>
          <cell r="D18">
            <v>72756.201380964907</v>
          </cell>
          <cell r="E18">
            <v>72756.201380964907</v>
          </cell>
          <cell r="F18">
            <v>109921.12752970908</v>
          </cell>
          <cell r="G18">
            <v>72756.201380964907</v>
          </cell>
          <cell r="H18">
            <v>72756.201380964907</v>
          </cell>
          <cell r="I18">
            <v>92422.565469881461</v>
          </cell>
          <cell r="J18">
            <v>72756.201380964922</v>
          </cell>
          <cell r="K18">
            <v>72756.201380964922</v>
          </cell>
          <cell r="L18">
            <v>96364.680426426188</v>
          </cell>
          <cell r="M18">
            <v>72756.201380964936</v>
          </cell>
          <cell r="N18">
            <v>72756.201380964936</v>
          </cell>
        </row>
        <row r="19">
          <cell r="C19">
            <v>166935.79013744032</v>
          </cell>
          <cell r="D19">
            <v>130039.36445919066</v>
          </cell>
          <cell r="E19">
            <v>130039.36445919066</v>
          </cell>
          <cell r="F19">
            <v>196465.36368432164</v>
          </cell>
          <cell r="G19">
            <v>130039.36445919066</v>
          </cell>
          <cell r="H19">
            <v>130039.36445919066</v>
          </cell>
          <cell r="I19">
            <v>165189.65321539898</v>
          </cell>
          <cell r="J19">
            <v>130039.36445919068</v>
          </cell>
          <cell r="K19">
            <v>130039.36445919068</v>
          </cell>
          <cell r="L19">
            <v>172235.51478931378</v>
          </cell>
          <cell r="M19">
            <v>130039.36445919071</v>
          </cell>
          <cell r="N19">
            <v>130039.36445919071</v>
          </cell>
        </row>
        <row r="20">
          <cell r="C20">
            <v>31696.669013438033</v>
          </cell>
          <cell r="D20">
            <v>24691.018568200758</v>
          </cell>
          <cell r="E20">
            <v>24691.018568200758</v>
          </cell>
          <cell r="F20">
            <v>37303.550066643344</v>
          </cell>
          <cell r="G20">
            <v>24691.018568200758</v>
          </cell>
          <cell r="H20">
            <v>24691.018568200758</v>
          </cell>
          <cell r="I20">
            <v>31365.124028240312</v>
          </cell>
          <cell r="J20">
            <v>24691.018568200761</v>
          </cell>
          <cell r="K20">
            <v>24691.018568200761</v>
          </cell>
          <cell r="L20">
            <v>32702.945846072234</v>
          </cell>
          <cell r="M20">
            <v>24691.018568200769</v>
          </cell>
          <cell r="N20">
            <v>24691.018568200769</v>
          </cell>
        </row>
        <row r="21">
          <cell r="C21">
            <v>96357.873800851623</v>
          </cell>
          <cell r="D21">
            <v>75060.696447330309</v>
          </cell>
          <cell r="E21">
            <v>75060.696447330309</v>
          </cell>
          <cell r="F21">
            <v>113402.79220259578</v>
          </cell>
          <cell r="G21">
            <v>75060.696447330309</v>
          </cell>
          <cell r="H21">
            <v>75060.696447330309</v>
          </cell>
          <cell r="I21">
            <v>95349.977045850552</v>
          </cell>
          <cell r="J21">
            <v>75060.696447330323</v>
          </cell>
          <cell r="K21">
            <v>75060.696447330323</v>
          </cell>
          <cell r="L21">
            <v>99416.955372059601</v>
          </cell>
          <cell r="M21">
            <v>75060.696447330338</v>
          </cell>
          <cell r="N21">
            <v>75060.696447330338</v>
          </cell>
        </row>
        <row r="22">
          <cell r="C22">
            <v>375288.56111910637</v>
          </cell>
          <cell r="D22">
            <v>292341.65984749701</v>
          </cell>
          <cell r="E22">
            <v>292341.65984749701</v>
          </cell>
          <cell r="F22">
            <v>441674.03278905724</v>
          </cell>
          <cell r="G22">
            <v>292341.65984749701</v>
          </cell>
          <cell r="H22">
            <v>292341.65984749701</v>
          </cell>
          <cell r="I22">
            <v>371363.06849436532</v>
          </cell>
          <cell r="J22">
            <v>292341.65984749701</v>
          </cell>
          <cell r="K22">
            <v>292341.65984749701</v>
          </cell>
          <cell r="L22">
            <v>387202.87881749531</v>
          </cell>
          <cell r="M22">
            <v>292341.65984749713</v>
          </cell>
          <cell r="N22">
            <v>292341.65984749713</v>
          </cell>
        </row>
        <row r="23">
          <cell r="C23">
            <v>165667.92337690279</v>
          </cell>
          <cell r="D23">
            <v>129051.72371646263</v>
          </cell>
          <cell r="E23">
            <v>129051.72371646263</v>
          </cell>
          <cell r="F23">
            <v>194973.22168165588</v>
          </cell>
          <cell r="G23">
            <v>129051.72371646263</v>
          </cell>
          <cell r="H23">
            <v>129051.72371646263</v>
          </cell>
          <cell r="I23">
            <v>163935.04825426938</v>
          </cell>
          <cell r="J23">
            <v>129051.72371646264</v>
          </cell>
          <cell r="K23">
            <v>129051.72371646264</v>
          </cell>
          <cell r="L23">
            <v>170927.39695547087</v>
          </cell>
          <cell r="M23">
            <v>129051.72371646267</v>
          </cell>
          <cell r="N23">
            <v>129051.72371646267</v>
          </cell>
        </row>
        <row r="24">
          <cell r="C24">
            <v>1496928.0219413002</v>
          </cell>
          <cell r="D24">
            <v>1166074.5035808946</v>
          </cell>
          <cell r="E24">
            <v>1166074.5035808946</v>
          </cell>
          <cell r="F24">
            <v>1761722.3244806766</v>
          </cell>
          <cell r="G24">
            <v>1166074.5035808946</v>
          </cell>
          <cell r="H24">
            <v>1166074.5035808946</v>
          </cell>
          <cell r="I24">
            <v>1481270.2574403626</v>
          </cell>
          <cell r="J24">
            <v>1166074.5035808946</v>
          </cell>
          <cell r="K24">
            <v>1166074.5035808946</v>
          </cell>
          <cell r="L24">
            <v>1544451.1224905048</v>
          </cell>
          <cell r="M24">
            <v>1166074.503580895</v>
          </cell>
          <cell r="N24">
            <v>1166074.503580895</v>
          </cell>
        </row>
        <row r="25">
          <cell r="C25">
            <v>126786.67605375213</v>
          </cell>
          <cell r="D25">
            <v>98764.074272803031</v>
          </cell>
          <cell r="E25">
            <v>98764.074272803031</v>
          </cell>
          <cell r="F25">
            <v>149214.20026657337</v>
          </cell>
          <cell r="G25">
            <v>98764.074272803031</v>
          </cell>
          <cell r="H25">
            <v>98764.074272803031</v>
          </cell>
          <cell r="I25">
            <v>125460.49611296125</v>
          </cell>
          <cell r="J25">
            <v>98764.074272803045</v>
          </cell>
          <cell r="K25">
            <v>98764.074272803045</v>
          </cell>
          <cell r="L25">
            <v>130811.78338428894</v>
          </cell>
          <cell r="M25">
            <v>98764.074272803075</v>
          </cell>
          <cell r="N25">
            <v>98764.074272803075</v>
          </cell>
        </row>
        <row r="26">
          <cell r="C26">
            <v>191025.2585876532</v>
          </cell>
          <cell r="D26">
            <v>148804.53857102324</v>
          </cell>
          <cell r="E26">
            <v>148804.53857102324</v>
          </cell>
          <cell r="F26">
            <v>224816.06173497057</v>
          </cell>
          <cell r="G26">
            <v>148804.53857102324</v>
          </cell>
          <cell r="H26">
            <v>148804.53857102324</v>
          </cell>
          <cell r="I26">
            <v>189027.1474768616</v>
          </cell>
          <cell r="J26">
            <v>148804.53857102324</v>
          </cell>
          <cell r="K26">
            <v>148804.53857102324</v>
          </cell>
          <cell r="L26">
            <v>197089.75363232865</v>
          </cell>
          <cell r="M26">
            <v>148804.53857102329</v>
          </cell>
          <cell r="N26">
            <v>148804.53857102329</v>
          </cell>
        </row>
      </sheetData>
      <sheetData sheetId="25">
        <row r="7">
          <cell r="C7">
            <v>49487.569592003689</v>
          </cell>
          <cell r="D7">
            <v>49987.097107952257</v>
          </cell>
          <cell r="E7">
            <v>30112.873538488253</v>
          </cell>
          <cell r="F7">
            <v>45260.099645168193</v>
          </cell>
          <cell r="G7">
            <v>35324.261531033699</v>
          </cell>
          <cell r="H7">
            <v>45263.973569863534</v>
          </cell>
          <cell r="I7">
            <v>34344.134353426532</v>
          </cell>
          <cell r="J7">
            <v>37587.581978728987</v>
          </cell>
          <cell r="K7">
            <v>39211.654630915633</v>
          </cell>
          <cell r="L7">
            <v>27817.594228389535</v>
          </cell>
          <cell r="M7">
            <v>35640.607055877183</v>
          </cell>
          <cell r="N7">
            <v>57223.573424771588</v>
          </cell>
        </row>
        <row r="8">
          <cell r="C8">
            <v>21160.443854843212</v>
          </cell>
          <cell r="D8">
            <v>21374.03737019109</v>
          </cell>
          <cell r="E8">
            <v>12875.996438550803</v>
          </cell>
          <cell r="F8">
            <v>19352.815369638636</v>
          </cell>
          <cell r="G8">
            <v>15104.339514018397</v>
          </cell>
          <cell r="H8">
            <v>19354.471825324166</v>
          </cell>
          <cell r="I8">
            <v>14685.245865181909</v>
          </cell>
          <cell r="J8">
            <v>16072.115172710543</v>
          </cell>
          <cell r="K8">
            <v>16766.554169333536</v>
          </cell>
          <cell r="L8">
            <v>11894.555455028039</v>
          </cell>
          <cell r="M8">
            <v>15239.606042004507</v>
          </cell>
          <cell r="N8">
            <v>24468.290170872187</v>
          </cell>
        </row>
        <row r="9">
          <cell r="C9">
            <v>15719.452285899188</v>
          </cell>
          <cell r="D9">
            <v>15878.124433615974</v>
          </cell>
          <cell r="E9">
            <v>9565.1874335746015</v>
          </cell>
          <cell r="F9">
            <v>14376.619880363331</v>
          </cell>
          <cell r="G9">
            <v>11220.555954750937</v>
          </cell>
          <cell r="H9">
            <v>14377.850411078611</v>
          </cell>
          <cell r="I9">
            <v>10909.223987359303</v>
          </cell>
          <cell r="J9">
            <v>11939.487154617234</v>
          </cell>
          <cell r="K9">
            <v>12455.364834110445</v>
          </cell>
          <cell r="L9">
            <v>8836.1046781398236</v>
          </cell>
          <cell r="M9">
            <v>11321.04135794678</v>
          </cell>
          <cell r="N9">
            <v>18176.751040622788</v>
          </cell>
        </row>
        <row r="10">
          <cell r="C10">
            <v>199295.26000199773</v>
          </cell>
          <cell r="D10">
            <v>201306.94631009252</v>
          </cell>
          <cell r="E10">
            <v>121269.90698347015</v>
          </cell>
          <cell r="F10">
            <v>182270.48531309591</v>
          </cell>
          <cell r="G10">
            <v>142257.09494821221</v>
          </cell>
          <cell r="H10">
            <v>182286.08629806549</v>
          </cell>
          <cell r="I10">
            <v>138309.94817364504</v>
          </cell>
          <cell r="J10">
            <v>151371.88964938815</v>
          </cell>
          <cell r="K10">
            <v>157912.31958256412</v>
          </cell>
          <cell r="L10">
            <v>112026.40824924974</v>
          </cell>
          <cell r="M10">
            <v>143531.07474038887</v>
          </cell>
          <cell r="N10">
            <v>230449.52576891161</v>
          </cell>
        </row>
        <row r="11">
          <cell r="C11">
            <v>100171.56265789412</v>
          </cell>
          <cell r="D11">
            <v>101182.69438805831</v>
          </cell>
          <cell r="E11">
            <v>60953.76320435269</v>
          </cell>
          <cell r="F11">
            <v>91614.418426421864</v>
          </cell>
          <cell r="G11">
            <v>71502.530968333071</v>
          </cell>
          <cell r="H11">
            <v>91622.259932754678</v>
          </cell>
          <cell r="I11">
            <v>69518.580820976335</v>
          </cell>
          <cell r="J11">
            <v>76083.890447296755</v>
          </cell>
          <cell r="K11">
            <v>79371.29972564154</v>
          </cell>
          <cell r="L11">
            <v>56307.713355380649</v>
          </cell>
          <cell r="M11">
            <v>72142.870064082934</v>
          </cell>
          <cell r="N11">
            <v>115830.59782661723</v>
          </cell>
        </row>
        <row r="12">
          <cell r="C12">
            <v>56391.59976998972</v>
          </cell>
          <cell r="D12">
            <v>56960.816564948676</v>
          </cell>
          <cell r="E12">
            <v>34313.932296669678</v>
          </cell>
          <cell r="F12">
            <v>51574.353838394658</v>
          </cell>
          <cell r="G12">
            <v>40252.3630651356</v>
          </cell>
          <cell r="H12">
            <v>51578.768215838529</v>
          </cell>
          <cell r="I12">
            <v>39135.497961858346</v>
          </cell>
          <cell r="J12">
            <v>42831.44023319862</v>
          </cell>
          <cell r="K12">
            <v>44682.087895925892</v>
          </cell>
          <cell r="L12">
            <v>31698.437672816915</v>
          </cell>
          <cell r="M12">
            <v>40612.842077806352</v>
          </cell>
          <cell r="N12">
            <v>65206.856521395093</v>
          </cell>
        </row>
        <row r="13">
          <cell r="C13">
            <v>16731.521396397518</v>
          </cell>
          <cell r="D13">
            <v>16900.409369480225</v>
          </cell>
          <cell r="E13">
            <v>10181.025095191573</v>
          </cell>
          <cell r="F13">
            <v>15302.233103372624</v>
          </cell>
          <cell r="G13">
            <v>11942.971588443737</v>
          </cell>
          <cell r="H13">
            <v>15303.542859629853</v>
          </cell>
          <cell r="I13">
            <v>11611.595063418856</v>
          </cell>
          <cell r="J13">
            <v>12708.189901036654</v>
          </cell>
          <cell r="K13">
            <v>13257.28145177136</v>
          </cell>
          <cell r="L13">
            <v>9405.0016370941157</v>
          </cell>
          <cell r="M13">
            <v>12049.926566455597</v>
          </cell>
          <cell r="N13">
            <v>19347.028981790918</v>
          </cell>
        </row>
        <row r="14">
          <cell r="C14">
            <v>39018.096574505122</v>
          </cell>
          <cell r="D14">
            <v>39411.945232250742</v>
          </cell>
          <cell r="E14">
            <v>23742.265331422641</v>
          </cell>
          <cell r="F14">
            <v>35684.980157365528</v>
          </cell>
          <cell r="G14">
            <v>27851.144422813915</v>
          </cell>
          <cell r="H14">
            <v>35688.034523727249</v>
          </cell>
          <cell r="I14">
            <v>27078.3706295874</v>
          </cell>
          <cell r="J14">
            <v>29635.64215699839</v>
          </cell>
          <cell r="K14">
            <v>30916.12984531013</v>
          </cell>
          <cell r="L14">
            <v>21932.569876074063</v>
          </cell>
          <cell r="M14">
            <v>28100.564637648022</v>
          </cell>
          <cell r="N14">
            <v>45117.48975821185</v>
          </cell>
        </row>
        <row r="15">
          <cell r="C15">
            <v>24644.957510019882</v>
          </cell>
          <cell r="D15">
            <v>24893.723705392451</v>
          </cell>
          <cell r="E15">
            <v>14996.300989906767</v>
          </cell>
          <cell r="F15">
            <v>22539.664846153002</v>
          </cell>
          <cell r="G15">
            <v>17591.587780173049</v>
          </cell>
          <cell r="H15">
            <v>22541.594072225344</v>
          </cell>
          <cell r="I15">
            <v>17103.481517414744</v>
          </cell>
          <cell r="J15">
            <v>18718.728125210775</v>
          </cell>
          <cell r="K15">
            <v>19527.521158215019</v>
          </cell>
          <cell r="L15">
            <v>13853.245035909164</v>
          </cell>
          <cell r="M15">
            <v>17749.128796685451</v>
          </cell>
          <cell r="N15">
            <v>28497.510531470383</v>
          </cell>
        </row>
        <row r="16">
          <cell r="C16">
            <v>18987.763139484818</v>
          </cell>
          <cell r="D16">
            <v>19179.425616197335</v>
          </cell>
          <cell r="E16">
            <v>11553.933945676406</v>
          </cell>
          <cell r="F16">
            <v>17365.735654773322</v>
          </cell>
          <cell r="G16">
            <v>13553.478511033225</v>
          </cell>
          <cell r="H16">
            <v>17367.222031355192</v>
          </cell>
          <cell r="I16">
            <v>13177.415939191267</v>
          </cell>
          <cell r="J16">
            <v>14421.886333924875</v>
          </cell>
          <cell r="K16">
            <v>15045.022751721752</v>
          </cell>
          <cell r="L16">
            <v>10673.263905938657</v>
          </cell>
          <cell r="M16">
            <v>13674.856342789475</v>
          </cell>
          <cell r="N16">
            <v>21955.971310420704</v>
          </cell>
        </row>
        <row r="17">
          <cell r="C17">
            <v>44967.112246977573</v>
          </cell>
          <cell r="D17">
            <v>45421.010267537116</v>
          </cell>
          <cell r="E17">
            <v>27362.203794769477</v>
          </cell>
          <cell r="F17">
            <v>41125.801849491567</v>
          </cell>
          <cell r="G17">
            <v>32097.555939870734</v>
          </cell>
          <cell r="H17">
            <v>41129.321909337865</v>
          </cell>
          <cell r="I17">
            <v>31206.958782339352</v>
          </cell>
          <cell r="J17">
            <v>34154.132681494324</v>
          </cell>
          <cell r="K17">
            <v>35629.853915133644</v>
          </cell>
          <cell r="L17">
            <v>25276.587482909788</v>
          </cell>
          <cell r="M17">
            <v>32385.004784939178</v>
          </cell>
          <cell r="N17">
            <v>51996.468417811469</v>
          </cell>
        </row>
        <row r="18">
          <cell r="C18">
            <v>32819.71374054248</v>
          </cell>
          <cell r="D18">
            <v>33150.995923404123</v>
          </cell>
          <cell r="E18">
            <v>19970.588525285591</v>
          </cell>
          <cell r="F18">
            <v>30016.09346487014</v>
          </cell>
          <cell r="G18">
            <v>23426.734452764689</v>
          </cell>
          <cell r="H18">
            <v>30018.662617095677</v>
          </cell>
          <cell r="I18">
            <v>22776.72287079379</v>
          </cell>
          <cell r="J18">
            <v>24927.74833986571</v>
          </cell>
          <cell r="K18">
            <v>26004.818803783219</v>
          </cell>
          <cell r="L18">
            <v>18448.379806346969</v>
          </cell>
          <cell r="M18">
            <v>23636.531976750233</v>
          </cell>
          <cell r="N18">
            <v>37950.162323497476</v>
          </cell>
        </row>
        <row r="19">
          <cell r="C19">
            <v>58334.808806650515</v>
          </cell>
          <cell r="D19">
            <v>58923.640353173447</v>
          </cell>
          <cell r="E19">
            <v>35496.362722375401</v>
          </cell>
          <cell r="F19">
            <v>53351.564466351432</v>
          </cell>
          <cell r="G19">
            <v>41639.427024557961</v>
          </cell>
          <cell r="H19">
            <v>53356.130959680908</v>
          </cell>
          <cell r="I19">
            <v>40484.075650802981</v>
          </cell>
          <cell r="J19">
            <v>44307.377111276721</v>
          </cell>
          <cell r="K19">
            <v>46221.796599533947</v>
          </cell>
          <cell r="L19">
            <v>32790.740263718537</v>
          </cell>
          <cell r="M19">
            <v>42012.327853204952</v>
          </cell>
          <cell r="N19">
            <v>67453.832194393326</v>
          </cell>
        </row>
        <row r="20">
          <cell r="C20">
            <v>9946.8484494325839</v>
          </cell>
          <cell r="D20">
            <v>10047.251935367056</v>
          </cell>
          <cell r="E20">
            <v>6052.5944582388584</v>
          </cell>
          <cell r="F20">
            <v>9097.1400634200691</v>
          </cell>
          <cell r="G20">
            <v>7100.0673287072887</v>
          </cell>
          <cell r="H20">
            <v>9097.9187103038566</v>
          </cell>
          <cell r="I20">
            <v>6903.0647970169075</v>
          </cell>
          <cell r="J20">
            <v>7554.9877394555397</v>
          </cell>
          <cell r="K20">
            <v>7881.4213201577695</v>
          </cell>
          <cell r="L20">
            <v>5591.2504149791703</v>
          </cell>
          <cell r="M20">
            <v>7163.6518009134707</v>
          </cell>
          <cell r="N20">
            <v>11501.761296500457</v>
          </cell>
        </row>
        <row r="21">
          <cell r="C21">
            <v>31140.456664174955</v>
          </cell>
          <cell r="D21">
            <v>31454.788426498406</v>
          </cell>
          <cell r="E21">
            <v>18948.771200325715</v>
          </cell>
          <cell r="F21">
            <v>28480.286731323682</v>
          </cell>
          <cell r="G21">
            <v>22228.079585845735</v>
          </cell>
          <cell r="H21">
            <v>28482.724430024391</v>
          </cell>
          <cell r="I21">
            <v>21611.326567839613</v>
          </cell>
          <cell r="J21">
            <v>23652.292431610233</v>
          </cell>
          <cell r="K21">
            <v>24674.253389924535</v>
          </cell>
          <cell r="L21">
            <v>17504.447979816297</v>
          </cell>
          <cell r="M21">
            <v>22427.142586686368</v>
          </cell>
          <cell r="N21">
            <v>36008.400151687129</v>
          </cell>
        </row>
        <row r="22">
          <cell r="C22">
            <v>129750.83488649508</v>
          </cell>
          <cell r="D22">
            <v>131060.53978365325</v>
          </cell>
          <cell r="E22">
            <v>78952.563535907117</v>
          </cell>
          <cell r="F22">
            <v>118666.88472321804</v>
          </cell>
          <cell r="G22">
            <v>92616.236020229044</v>
          </cell>
          <cell r="H22">
            <v>118677.04171754312</v>
          </cell>
          <cell r="I22">
            <v>90046.452928476167</v>
          </cell>
          <cell r="J22">
            <v>98550.40737124224</v>
          </cell>
          <cell r="K22">
            <v>102808.54298539432</v>
          </cell>
          <cell r="L22">
            <v>72934.599646423056</v>
          </cell>
          <cell r="M22">
            <v>93445.658364050905</v>
          </cell>
          <cell r="N22">
            <v>150033.76581767882</v>
          </cell>
        </row>
        <row r="23">
          <cell r="C23">
            <v>52682.925120104977</v>
          </cell>
          <cell r="D23">
            <v>53214.706554010809</v>
          </cell>
          <cell r="E23">
            <v>32057.227195810941</v>
          </cell>
          <cell r="F23">
            <v>48182.492294391595</v>
          </cell>
          <cell r="G23">
            <v>37605.108525336742</v>
          </cell>
          <cell r="H23">
            <v>48186.616353954996</v>
          </cell>
          <cell r="I23">
            <v>36561.695661626378</v>
          </cell>
          <cell r="J23">
            <v>40014.568974734124</v>
          </cell>
          <cell r="K23">
            <v>41743.506132694376</v>
          </cell>
          <cell r="L23">
            <v>29613.74433697206</v>
          </cell>
          <cell r="M23">
            <v>37941.880117371082</v>
          </cell>
          <cell r="N23">
            <v>60918.433834932017</v>
          </cell>
        </row>
        <row r="24">
          <cell r="C24">
            <v>548619.70823383552</v>
          </cell>
          <cell r="D24">
            <v>554157.47544111335</v>
          </cell>
          <cell r="E24">
            <v>333831.62743634178</v>
          </cell>
          <cell r="F24">
            <v>501753.93268815277</v>
          </cell>
          <cell r="G24">
            <v>391605.12861118175</v>
          </cell>
          <cell r="H24">
            <v>501796.8790573845</v>
          </cell>
          <cell r="I24">
            <v>380739.42858501227</v>
          </cell>
          <cell r="J24">
            <v>416696.32249868475</v>
          </cell>
          <cell r="K24">
            <v>434700.80871489929</v>
          </cell>
          <cell r="L24">
            <v>308386.13726975681</v>
          </cell>
          <cell r="M24">
            <v>395112.13837083563</v>
          </cell>
          <cell r="N24">
            <v>634381.12671971601</v>
          </cell>
        </row>
        <row r="25">
          <cell r="C25">
            <v>40542.153219355918</v>
          </cell>
          <cell r="D25">
            <v>40951.3857045201</v>
          </cell>
          <cell r="E25">
            <v>24669.644174034063</v>
          </cell>
          <cell r="F25">
            <v>37078.8444384268</v>
          </cell>
          <cell r="G25">
            <v>28939.017113969843</v>
          </cell>
          <cell r="H25">
            <v>37082.018109105185</v>
          </cell>
          <cell r="I25">
            <v>28136.058582431338</v>
          </cell>
          <cell r="J25">
            <v>30793.217777519716</v>
          </cell>
          <cell r="K25">
            <v>32123.721636310056</v>
          </cell>
          <cell r="L25">
            <v>22789.261560007366</v>
          </cell>
          <cell r="M25">
            <v>29198.17974499414</v>
          </cell>
          <cell r="N25">
            <v>46879.790231626539</v>
          </cell>
        </row>
        <row r="26">
          <cell r="C26">
            <v>76160.66008531324</v>
          </cell>
          <cell r="D26">
            <v>76929.425770495873</v>
          </cell>
          <cell r="E26">
            <v>46343.28063925376</v>
          </cell>
          <cell r="F26">
            <v>69654.644447522864</v>
          </cell>
          <cell r="G26">
            <v>54363.532042690422</v>
          </cell>
          <cell r="H26">
            <v>69660.606362087477</v>
          </cell>
          <cell r="I26">
            <v>52855.130368703605</v>
          </cell>
          <cell r="J26">
            <v>57846.74976185101</v>
          </cell>
          <cell r="K26">
            <v>60346.174288793758</v>
          </cell>
          <cell r="L26">
            <v>42810.878689057223</v>
          </cell>
          <cell r="M26">
            <v>54850.383269892474</v>
          </cell>
          <cell r="N26">
            <v>88066.259070746484</v>
          </cell>
        </row>
      </sheetData>
      <sheetData sheetId="26">
        <row r="7">
          <cell r="C7">
            <v>108515.59232688899</v>
          </cell>
          <cell r="D7">
            <v>109186.11860558472</v>
          </cell>
          <cell r="E7">
            <v>124058.65010120287</v>
          </cell>
          <cell r="F7">
            <v>119027.88731383004</v>
          </cell>
          <cell r="G7">
            <v>127038.63635508782</v>
          </cell>
          <cell r="H7">
            <v>122051.48316272711</v>
          </cell>
          <cell r="I7">
            <v>126529.47708009076</v>
          </cell>
          <cell r="J7">
            <v>125596.10193680914</v>
          </cell>
          <cell r="K7">
            <v>119822.41502762708</v>
          </cell>
          <cell r="L7">
            <v>126138.19845114372</v>
          </cell>
          <cell r="M7">
            <v>121486.08657087667</v>
          </cell>
          <cell r="N7">
            <v>89422.97806813092</v>
          </cell>
        </row>
        <row r="8">
          <cell r="C8">
            <v>44298.145908784827</v>
          </cell>
          <cell r="D8">
            <v>44571.867595156502</v>
          </cell>
          <cell r="E8">
            <v>50643.120178299265</v>
          </cell>
          <cell r="F8">
            <v>48589.466328111448</v>
          </cell>
          <cell r="G8">
            <v>51859.607717556399</v>
          </cell>
          <cell r="H8">
            <v>49823.756140400932</v>
          </cell>
          <cell r="I8">
            <v>51651.759136804176</v>
          </cell>
          <cell r="J8">
            <v>51270.737502971402</v>
          </cell>
          <cell r="K8">
            <v>48913.807778401198</v>
          </cell>
          <cell r="L8">
            <v>51492.03169649429</v>
          </cell>
          <cell r="M8">
            <v>49592.950408385273</v>
          </cell>
          <cell r="N8">
            <v>36504.174608634268</v>
          </cell>
        </row>
        <row r="9">
          <cell r="C9">
            <v>32406.026201728495</v>
          </cell>
          <cell r="D9">
            <v>32606.265556188315</v>
          </cell>
          <cell r="E9">
            <v>37047.651674057852</v>
          </cell>
          <cell r="F9">
            <v>35545.314293719115</v>
          </cell>
          <cell r="G9">
            <v>37937.565377272804</v>
          </cell>
          <cell r="H9">
            <v>36448.251136266452</v>
          </cell>
          <cell r="I9">
            <v>37785.515073232586</v>
          </cell>
          <cell r="J9">
            <v>37506.781126334783</v>
          </cell>
          <cell r="K9">
            <v>35782.584213729737</v>
          </cell>
          <cell r="L9">
            <v>37668.667482670317</v>
          </cell>
          <cell r="M9">
            <v>36279.406674590566</v>
          </cell>
          <cell r="N9">
            <v>26704.396190208961</v>
          </cell>
        </row>
        <row r="10">
          <cell r="C10">
            <v>262221.23954059207</v>
          </cell>
          <cell r="D10">
            <v>263841.52495924855</v>
          </cell>
          <cell r="E10">
            <v>299780.08051852317</v>
          </cell>
          <cell r="F10">
            <v>287623.55235835095</v>
          </cell>
          <cell r="G10">
            <v>306981.03360325331</v>
          </cell>
          <cell r="H10">
            <v>294929.88534116524</v>
          </cell>
          <cell r="I10">
            <v>305750.68160175357</v>
          </cell>
          <cell r="J10">
            <v>303495.23810483742</v>
          </cell>
          <cell r="K10">
            <v>289543.47960100573</v>
          </cell>
          <cell r="L10">
            <v>304805.18091481854</v>
          </cell>
          <cell r="M10">
            <v>293563.6393301732</v>
          </cell>
          <cell r="N10">
            <v>216085.114126278</v>
          </cell>
        </row>
        <row r="11">
          <cell r="C11">
            <v>197111.88414445863</v>
          </cell>
          <cell r="D11">
            <v>198329.85379589771</v>
          </cell>
          <cell r="E11">
            <v>225344.8904578014</v>
          </cell>
          <cell r="F11">
            <v>216206.81997005295</v>
          </cell>
          <cell r="G11">
            <v>230757.8517902006</v>
          </cell>
          <cell r="H11">
            <v>221698.99544352895</v>
          </cell>
          <cell r="I11">
            <v>229832.99535369911</v>
          </cell>
          <cell r="J11">
            <v>228137.57694275194</v>
          </cell>
          <cell r="K11">
            <v>217650.03058442948</v>
          </cell>
          <cell r="L11">
            <v>229122.2618441323</v>
          </cell>
          <cell r="M11">
            <v>220671.98738764721</v>
          </cell>
          <cell r="N11">
            <v>162431.32728539946</v>
          </cell>
        </row>
        <row r="12">
          <cell r="C12">
            <v>95731.563641803441</v>
          </cell>
          <cell r="D12">
            <v>96323.096413693915</v>
          </cell>
          <cell r="E12">
            <v>109443.52145914338</v>
          </cell>
          <cell r="F12">
            <v>105005.42387685829</v>
          </cell>
          <cell r="G12">
            <v>112072.44083928295</v>
          </cell>
          <cell r="H12">
            <v>107672.81528328254</v>
          </cell>
          <cell r="I12">
            <v>111623.26471175131</v>
          </cell>
          <cell r="J12">
            <v>110799.84883192478</v>
          </cell>
          <cell r="K12">
            <v>105706.34969560527</v>
          </cell>
          <cell r="L12">
            <v>111278.08192128297</v>
          </cell>
          <cell r="M12">
            <v>107174.02705704737</v>
          </cell>
          <cell r="N12">
            <v>78888.216268323711</v>
          </cell>
        </row>
        <row r="13">
          <cell r="C13">
            <v>33000.632187081312</v>
          </cell>
          <cell r="D13">
            <v>33204.545658136725</v>
          </cell>
          <cell r="E13">
            <v>37727.425099269924</v>
          </cell>
          <cell r="F13">
            <v>36197.521895438731</v>
          </cell>
          <cell r="G13">
            <v>38633.667494286979</v>
          </cell>
          <cell r="H13">
            <v>37117.026386473175</v>
          </cell>
          <cell r="I13">
            <v>38478.827276411168</v>
          </cell>
          <cell r="J13">
            <v>38194.978945166622</v>
          </cell>
          <cell r="K13">
            <v>36439.145391963313</v>
          </cell>
          <cell r="L13">
            <v>38359.835693361521</v>
          </cell>
          <cell r="M13">
            <v>36945.083861280305</v>
          </cell>
          <cell r="N13">
            <v>27194.385111130228</v>
          </cell>
        </row>
        <row r="14">
          <cell r="C14">
            <v>80569.111015306626</v>
          </cell>
          <cell r="D14">
            <v>81066.953814009481</v>
          </cell>
          <cell r="E14">
            <v>92109.299116235561</v>
          </cell>
          <cell r="F14">
            <v>88374.13003300807</v>
          </cell>
          <cell r="G14">
            <v>94321.836855421367</v>
          </cell>
          <cell r="H14">
            <v>90619.046403011089</v>
          </cell>
          <cell r="I14">
            <v>93943.803530697522</v>
          </cell>
          <cell r="J14">
            <v>93250.804451713091</v>
          </cell>
          <cell r="K14">
            <v>88964.039650649152</v>
          </cell>
          <cell r="L14">
            <v>93653.292548657395</v>
          </cell>
          <cell r="M14">
            <v>90199.258796459122</v>
          </cell>
          <cell r="N14">
            <v>66393.498784831449</v>
          </cell>
        </row>
        <row r="15">
          <cell r="C15">
            <v>50244.20576231298</v>
          </cell>
          <cell r="D15">
            <v>50554.668614640592</v>
          </cell>
          <cell r="E15">
            <v>57440.85443041996</v>
          </cell>
          <cell r="F15">
            <v>55111.542345307607</v>
          </cell>
          <cell r="G15">
            <v>58820.628887698193</v>
          </cell>
          <cell r="H15">
            <v>56511.508642468165</v>
          </cell>
          <cell r="I15">
            <v>58584.881168589964</v>
          </cell>
          <cell r="J15">
            <v>58152.715691289712</v>
          </cell>
          <cell r="K15">
            <v>55479.419560736926</v>
          </cell>
          <cell r="L15">
            <v>58403.713803406266</v>
          </cell>
          <cell r="M15">
            <v>56249.72227528262</v>
          </cell>
          <cell r="N15">
            <v>41404.063817846916</v>
          </cell>
        </row>
        <row r="16">
          <cell r="C16">
            <v>37757.480069903839</v>
          </cell>
          <cell r="D16">
            <v>37990.786473723994</v>
          </cell>
          <cell r="E16">
            <v>43165.612500966483</v>
          </cell>
          <cell r="F16">
            <v>41415.182709195658</v>
          </cell>
          <cell r="G16">
            <v>44202.484430400422</v>
          </cell>
          <cell r="H16">
            <v>42467.228388126969</v>
          </cell>
          <cell r="I16">
            <v>44025.324901839798</v>
          </cell>
          <cell r="J16">
            <v>43700.561495821261</v>
          </cell>
          <cell r="K16">
            <v>41691.634817831895</v>
          </cell>
          <cell r="L16">
            <v>43889.181378891102</v>
          </cell>
          <cell r="M16">
            <v>42270.501354798187</v>
          </cell>
          <cell r="N16">
            <v>31114.296478500346</v>
          </cell>
        </row>
        <row r="17">
          <cell r="C17">
            <v>100785.71451730239</v>
          </cell>
          <cell r="D17">
            <v>101408.47728025539</v>
          </cell>
          <cell r="E17">
            <v>115221.59557344597</v>
          </cell>
          <cell r="F17">
            <v>110549.18849147504</v>
          </cell>
          <cell r="G17">
            <v>117989.30883390349</v>
          </cell>
          <cell r="H17">
            <v>113357.4049100397</v>
          </cell>
          <cell r="I17">
            <v>117516.41843876924</v>
          </cell>
          <cell r="J17">
            <v>116649.53029199534</v>
          </cell>
          <cell r="K17">
            <v>111287.11971059065</v>
          </cell>
          <cell r="L17">
            <v>117153.01171215814</v>
          </cell>
          <cell r="M17">
            <v>112832.28314391011</v>
          </cell>
          <cell r="N17">
            <v>83053.122096154475</v>
          </cell>
        </row>
        <row r="18">
          <cell r="C18">
            <v>65703.961381486224</v>
          </cell>
          <cell r="D18">
            <v>66109.951265299242</v>
          </cell>
          <cell r="E18">
            <v>75114.963485933811</v>
          </cell>
          <cell r="F18">
            <v>72068.93999001765</v>
          </cell>
          <cell r="G18">
            <v>76919.283930066871</v>
          </cell>
          <cell r="H18">
            <v>73899.665147842999</v>
          </cell>
          <cell r="I18">
            <v>76610.998451233041</v>
          </cell>
          <cell r="J18">
            <v>76045.858980917328</v>
          </cell>
          <cell r="K18">
            <v>72550.010194809831</v>
          </cell>
          <cell r="L18">
            <v>76374.087281377448</v>
          </cell>
          <cell r="M18">
            <v>73557.329129215752</v>
          </cell>
          <cell r="N18">
            <v>54143.775761799821</v>
          </cell>
        </row>
        <row r="19">
          <cell r="C19">
            <v>117434.68210718124</v>
          </cell>
          <cell r="D19">
            <v>118160.32013481087</v>
          </cell>
          <cell r="E19">
            <v>134255.25147938394</v>
          </cell>
          <cell r="F19">
            <v>128811.0013396243</v>
          </cell>
          <cell r="G19">
            <v>137480.16811030052</v>
          </cell>
          <cell r="H19">
            <v>132083.11191582796</v>
          </cell>
          <cell r="I19">
            <v>136929.16012776946</v>
          </cell>
          <cell r="J19">
            <v>135919.06921928661</v>
          </cell>
          <cell r="K19">
            <v>129670.8327011307</v>
          </cell>
          <cell r="L19">
            <v>136505.72161151172</v>
          </cell>
          <cell r="M19">
            <v>131471.24437122271</v>
          </cell>
          <cell r="N19">
            <v>96772.811881949907</v>
          </cell>
        </row>
        <row r="20">
          <cell r="C20">
            <v>22297.724450730617</v>
          </cell>
          <cell r="D20">
            <v>22435.503823065352</v>
          </cell>
          <cell r="E20">
            <v>25491.503445452647</v>
          </cell>
          <cell r="F20">
            <v>24457.785064485626</v>
          </cell>
          <cell r="G20">
            <v>26103.829388031743</v>
          </cell>
          <cell r="H20">
            <v>25079.071882752145</v>
          </cell>
          <cell r="I20">
            <v>25999.207619196732</v>
          </cell>
          <cell r="J20">
            <v>25807.418206193659</v>
          </cell>
          <cell r="K20">
            <v>24621.04418375899</v>
          </cell>
          <cell r="L20">
            <v>25918.807900919943</v>
          </cell>
          <cell r="M20">
            <v>24962.89450086507</v>
          </cell>
          <cell r="N20">
            <v>18374.584534547448</v>
          </cell>
        </row>
        <row r="21">
          <cell r="C21">
            <v>67785.082330221077</v>
          </cell>
          <cell r="D21">
            <v>68203.931622118675</v>
          </cell>
          <cell r="E21">
            <v>77494.170474176048</v>
          </cell>
          <cell r="F21">
            <v>74351.666596036303</v>
          </cell>
          <cell r="G21">
            <v>79355.641339616501</v>
          </cell>
          <cell r="H21">
            <v>76240.378523566527</v>
          </cell>
          <cell r="I21">
            <v>79037.591162358076</v>
          </cell>
          <cell r="J21">
            <v>78454.551346828724</v>
          </cell>
          <cell r="K21">
            <v>74847.974318627341</v>
          </cell>
          <cell r="L21">
            <v>78793.176018796628</v>
          </cell>
          <cell r="M21">
            <v>75887.199282629823</v>
          </cell>
          <cell r="N21">
            <v>55858.736985024247</v>
          </cell>
        </row>
        <row r="22">
          <cell r="C22">
            <v>264005.05749665049</v>
          </cell>
          <cell r="D22">
            <v>265636.3652650938</v>
          </cell>
          <cell r="E22">
            <v>301819.40079415939</v>
          </cell>
          <cell r="F22">
            <v>289580.17516350985</v>
          </cell>
          <cell r="G22">
            <v>309069.33995429584</v>
          </cell>
          <cell r="H22">
            <v>296936.2110917854</v>
          </cell>
          <cell r="I22">
            <v>307830.61821128934</v>
          </cell>
          <cell r="J22">
            <v>305559.83156133298</v>
          </cell>
          <cell r="K22">
            <v>291513.16313570651</v>
          </cell>
          <cell r="L22">
            <v>306878.68554689217</v>
          </cell>
          <cell r="M22">
            <v>295560.67089024244</v>
          </cell>
          <cell r="N22">
            <v>217555.08088904183</v>
          </cell>
        </row>
        <row r="23">
          <cell r="C23">
            <v>116542.77312915202</v>
          </cell>
          <cell r="D23">
            <v>117262.89998188824</v>
          </cell>
          <cell r="E23">
            <v>133235.59134156583</v>
          </cell>
          <cell r="F23">
            <v>127832.68993704488</v>
          </cell>
          <cell r="G23">
            <v>136436.01493477923</v>
          </cell>
          <cell r="H23">
            <v>131079.94904051788</v>
          </cell>
          <cell r="I23">
            <v>135889.19182300157</v>
          </cell>
          <cell r="J23">
            <v>134886.77249103886</v>
          </cell>
          <cell r="K23">
            <v>128685.99093378033</v>
          </cell>
          <cell r="L23">
            <v>135468.9692954749</v>
          </cell>
          <cell r="M23">
            <v>130472.72859118809</v>
          </cell>
          <cell r="N23">
            <v>96037.828500568008</v>
          </cell>
        </row>
        <row r="24">
          <cell r="C24">
            <v>1053047.2000598379</v>
          </cell>
          <cell r="D24">
            <v>1059554.0605506331</v>
          </cell>
          <cell r="E24">
            <v>1203878.7360505771</v>
          </cell>
          <cell r="F24">
            <v>1155059.6626454412</v>
          </cell>
          <cell r="G24">
            <v>1232796.8492321125</v>
          </cell>
          <cell r="H24">
            <v>1184400.9681161081</v>
          </cell>
          <cell r="I24">
            <v>1227855.9118292644</v>
          </cell>
          <cell r="J24">
            <v>1218798.3371511726</v>
          </cell>
          <cell r="K24">
            <v>1162769.846651658</v>
          </cell>
          <cell r="L24">
            <v>1224058.9011341126</v>
          </cell>
          <cell r="M24">
            <v>1178914.297627521</v>
          </cell>
          <cell r="N24">
            <v>867770.37895156094</v>
          </cell>
        </row>
        <row r="25">
          <cell r="C25">
            <v>89190.897802922467</v>
          </cell>
          <cell r="D25">
            <v>89742.015292261407</v>
          </cell>
          <cell r="E25">
            <v>101966.01378181059</v>
          </cell>
          <cell r="F25">
            <v>97831.140257942505</v>
          </cell>
          <cell r="G25">
            <v>104415.31755212697</v>
          </cell>
          <cell r="H25">
            <v>100316.28753100858</v>
          </cell>
          <cell r="I25">
            <v>103996.83047678693</v>
          </cell>
          <cell r="J25">
            <v>103229.67282477464</v>
          </cell>
          <cell r="K25">
            <v>98484.176735035959</v>
          </cell>
          <cell r="L25">
            <v>103675.23160367977</v>
          </cell>
          <cell r="M25">
            <v>99851.578003460279</v>
          </cell>
          <cell r="N25">
            <v>73498.338138189793</v>
          </cell>
        </row>
        <row r="26">
          <cell r="C26">
            <v>134380.9526897365</v>
          </cell>
          <cell r="D26">
            <v>135211.30304034051</v>
          </cell>
          <cell r="E26">
            <v>153628.79409792795</v>
          </cell>
          <cell r="F26">
            <v>147398.91798863336</v>
          </cell>
          <cell r="G26">
            <v>157319.07844520462</v>
          </cell>
          <cell r="H26">
            <v>151143.20654671959</v>
          </cell>
          <cell r="I26">
            <v>156688.55791835897</v>
          </cell>
          <cell r="J26">
            <v>155532.70705599379</v>
          </cell>
          <cell r="K26">
            <v>148382.82628078753</v>
          </cell>
          <cell r="L26">
            <v>156204.01561621085</v>
          </cell>
          <cell r="M26">
            <v>150443.04419188015</v>
          </cell>
          <cell r="N26">
            <v>110737.49612820595</v>
          </cell>
        </row>
      </sheetData>
      <sheetData sheetId="27">
        <row r="7">
          <cell r="C7">
            <v>59001.003114284846</v>
          </cell>
          <cell r="D7">
            <v>73908.231937394798</v>
          </cell>
          <cell r="E7">
            <v>109747.61962915756</v>
          </cell>
          <cell r="F7">
            <v>30137.431071750409</v>
          </cell>
          <cell r="G7">
            <v>56686.48498495714</v>
          </cell>
          <cell r="H7">
            <v>60711.854190899248</v>
          </cell>
          <cell r="I7">
            <v>64043.592793827323</v>
          </cell>
          <cell r="J7">
            <v>65931.948183836779</v>
          </cell>
          <cell r="K7">
            <v>107807.41098053614</v>
          </cell>
          <cell r="L7">
            <v>43481.390849113319</v>
          </cell>
          <cell r="M7">
            <v>45794.617047833977</v>
          </cell>
          <cell r="N7">
            <v>60927.778966408216</v>
          </cell>
        </row>
        <row r="8">
          <cell r="C8">
            <v>59001.003114284846</v>
          </cell>
          <cell r="D8">
            <v>73908.231937394798</v>
          </cell>
          <cell r="E8">
            <v>109747.61962915756</v>
          </cell>
          <cell r="F8">
            <v>30137.431071750409</v>
          </cell>
          <cell r="G8">
            <v>56686.48498495714</v>
          </cell>
          <cell r="H8">
            <v>60711.854190899248</v>
          </cell>
          <cell r="I8">
            <v>64043.592793827323</v>
          </cell>
          <cell r="J8">
            <v>65931.948183836779</v>
          </cell>
          <cell r="K8">
            <v>107807.41098053614</v>
          </cell>
          <cell r="L8">
            <v>43481.390849113319</v>
          </cell>
          <cell r="M8">
            <v>45794.617047833977</v>
          </cell>
          <cell r="N8">
            <v>60927.778966408216</v>
          </cell>
        </row>
        <row r="9">
          <cell r="C9">
            <v>59001.003114284846</v>
          </cell>
          <cell r="D9">
            <v>73908.231937394798</v>
          </cell>
          <cell r="E9">
            <v>109747.61962915756</v>
          </cell>
          <cell r="F9">
            <v>30137.431071750409</v>
          </cell>
          <cell r="G9">
            <v>56686.48498495714</v>
          </cell>
          <cell r="H9">
            <v>60711.854190899248</v>
          </cell>
          <cell r="I9">
            <v>64043.592793827323</v>
          </cell>
          <cell r="J9">
            <v>65931.948183836779</v>
          </cell>
          <cell r="K9">
            <v>107807.41098053614</v>
          </cell>
          <cell r="L9">
            <v>43481.390849113319</v>
          </cell>
          <cell r="M9">
            <v>45794.617047833977</v>
          </cell>
          <cell r="N9">
            <v>60927.778966408216</v>
          </cell>
        </row>
        <row r="10">
          <cell r="C10">
            <v>59001.003114284846</v>
          </cell>
          <cell r="D10">
            <v>73908.231937394798</v>
          </cell>
          <cell r="E10">
            <v>109747.61962915756</v>
          </cell>
          <cell r="F10">
            <v>30137.431071750409</v>
          </cell>
          <cell r="G10">
            <v>56686.48498495714</v>
          </cell>
          <cell r="H10">
            <v>60711.854190899248</v>
          </cell>
          <cell r="I10">
            <v>64043.592793827323</v>
          </cell>
          <cell r="J10">
            <v>65931.948183836779</v>
          </cell>
          <cell r="K10">
            <v>107807.41098053614</v>
          </cell>
          <cell r="L10">
            <v>43481.390849113319</v>
          </cell>
          <cell r="M10">
            <v>45794.617047833977</v>
          </cell>
          <cell r="N10">
            <v>60927.778966408216</v>
          </cell>
        </row>
        <row r="11">
          <cell r="C11">
            <v>59001.003114284846</v>
          </cell>
          <cell r="D11">
            <v>73908.231937394798</v>
          </cell>
          <cell r="E11">
            <v>109747.61962915756</v>
          </cell>
          <cell r="F11">
            <v>30137.431071750409</v>
          </cell>
          <cell r="G11">
            <v>56686.48498495714</v>
          </cell>
          <cell r="H11">
            <v>60711.854190899248</v>
          </cell>
          <cell r="I11">
            <v>64043.592793827323</v>
          </cell>
          <cell r="J11">
            <v>65931.948183836779</v>
          </cell>
          <cell r="K11">
            <v>107807.41098053614</v>
          </cell>
          <cell r="L11">
            <v>43481.390849113319</v>
          </cell>
          <cell r="M11">
            <v>45794.617047833977</v>
          </cell>
          <cell r="N11">
            <v>60927.778966408216</v>
          </cell>
        </row>
        <row r="12">
          <cell r="C12">
            <v>59001.003114284846</v>
          </cell>
          <cell r="D12">
            <v>73908.231937394798</v>
          </cell>
          <cell r="E12">
            <v>109747.61962915756</v>
          </cell>
          <cell r="F12">
            <v>30137.431071750409</v>
          </cell>
          <cell r="G12">
            <v>56686.48498495714</v>
          </cell>
          <cell r="H12">
            <v>60711.854190899248</v>
          </cell>
          <cell r="I12">
            <v>64043.592793827323</v>
          </cell>
          <cell r="J12">
            <v>65931.948183836779</v>
          </cell>
          <cell r="K12">
            <v>107807.41098053614</v>
          </cell>
          <cell r="L12">
            <v>43481.390849113319</v>
          </cell>
          <cell r="M12">
            <v>45794.617047833977</v>
          </cell>
          <cell r="N12">
            <v>60927.778966408216</v>
          </cell>
        </row>
        <row r="13">
          <cell r="C13">
            <v>59001.003114284846</v>
          </cell>
          <cell r="D13">
            <v>73908.231937394798</v>
          </cell>
          <cell r="E13">
            <v>109747.61962915756</v>
          </cell>
          <cell r="F13">
            <v>30137.431071750409</v>
          </cell>
          <cell r="G13">
            <v>56686.48498495714</v>
          </cell>
          <cell r="H13">
            <v>60711.854190899248</v>
          </cell>
          <cell r="I13">
            <v>64043.592793827323</v>
          </cell>
          <cell r="J13">
            <v>65931.948183836779</v>
          </cell>
          <cell r="K13">
            <v>107807.41098053614</v>
          </cell>
          <cell r="L13">
            <v>43481.390849113319</v>
          </cell>
          <cell r="M13">
            <v>45794.617047833977</v>
          </cell>
          <cell r="N13">
            <v>60927.778966408216</v>
          </cell>
        </row>
        <row r="14">
          <cell r="C14">
            <v>59001.003114284846</v>
          </cell>
          <cell r="D14">
            <v>73908.231937394798</v>
          </cell>
          <cell r="E14">
            <v>109747.61962915756</v>
          </cell>
          <cell r="F14">
            <v>30137.431071750409</v>
          </cell>
          <cell r="G14">
            <v>56686.48498495714</v>
          </cell>
          <cell r="H14">
            <v>60711.854190899248</v>
          </cell>
          <cell r="I14">
            <v>64043.592793827323</v>
          </cell>
          <cell r="J14">
            <v>65931.948183836779</v>
          </cell>
          <cell r="K14">
            <v>107807.41098053614</v>
          </cell>
          <cell r="L14">
            <v>43481.390849113319</v>
          </cell>
          <cell r="M14">
            <v>45794.617047833977</v>
          </cell>
          <cell r="N14">
            <v>60927.778966408216</v>
          </cell>
        </row>
        <row r="15">
          <cell r="C15">
            <v>59001.003114284846</v>
          </cell>
          <cell r="D15">
            <v>73908.231937394798</v>
          </cell>
          <cell r="E15">
            <v>109747.61962915756</v>
          </cell>
          <cell r="F15">
            <v>30137.431071750409</v>
          </cell>
          <cell r="G15">
            <v>56686.48498495714</v>
          </cell>
          <cell r="H15">
            <v>60711.854190899248</v>
          </cell>
          <cell r="I15">
            <v>64043.592793827323</v>
          </cell>
          <cell r="J15">
            <v>65931.948183836779</v>
          </cell>
          <cell r="K15">
            <v>107807.41098053614</v>
          </cell>
          <cell r="L15">
            <v>43481.390849113319</v>
          </cell>
          <cell r="M15">
            <v>45794.617047833977</v>
          </cell>
          <cell r="N15">
            <v>60927.778966408216</v>
          </cell>
        </row>
        <row r="16">
          <cell r="C16">
            <v>59001.003114284846</v>
          </cell>
          <cell r="D16">
            <v>73908.231937394798</v>
          </cell>
          <cell r="E16">
            <v>109747.61962915756</v>
          </cell>
          <cell r="F16">
            <v>30137.431071750409</v>
          </cell>
          <cell r="G16">
            <v>56686.48498495714</v>
          </cell>
          <cell r="H16">
            <v>60711.854190899248</v>
          </cell>
          <cell r="I16">
            <v>64043.592793827323</v>
          </cell>
          <cell r="J16">
            <v>65931.948183836779</v>
          </cell>
          <cell r="K16">
            <v>107807.41098053614</v>
          </cell>
          <cell r="L16">
            <v>43481.390849113319</v>
          </cell>
          <cell r="M16">
            <v>45794.617047833977</v>
          </cell>
          <cell r="N16">
            <v>60927.778966408216</v>
          </cell>
        </row>
        <row r="17">
          <cell r="C17">
            <v>59001.003114284846</v>
          </cell>
          <cell r="D17">
            <v>73908.231937394798</v>
          </cell>
          <cell r="E17">
            <v>109747.61962915756</v>
          </cell>
          <cell r="F17">
            <v>30137.431071750409</v>
          </cell>
          <cell r="G17">
            <v>56686.48498495714</v>
          </cell>
          <cell r="H17">
            <v>60711.854190899248</v>
          </cell>
          <cell r="I17">
            <v>64043.592793827323</v>
          </cell>
          <cell r="J17">
            <v>65931.948183836779</v>
          </cell>
          <cell r="K17">
            <v>107807.41098053614</v>
          </cell>
          <cell r="L17">
            <v>43481.390849113319</v>
          </cell>
          <cell r="M17">
            <v>45794.617047833977</v>
          </cell>
          <cell r="N17">
            <v>60927.778966408216</v>
          </cell>
        </row>
        <row r="18">
          <cell r="C18">
            <v>59001.003114284846</v>
          </cell>
          <cell r="D18">
            <v>73908.231937394798</v>
          </cell>
          <cell r="E18">
            <v>109747.61962915756</v>
          </cell>
          <cell r="F18">
            <v>30137.431071750409</v>
          </cell>
          <cell r="G18">
            <v>56686.48498495714</v>
          </cell>
          <cell r="H18">
            <v>60711.854190899248</v>
          </cell>
          <cell r="I18">
            <v>64043.592793827323</v>
          </cell>
          <cell r="J18">
            <v>65931.948183836779</v>
          </cell>
          <cell r="K18">
            <v>107807.41098053614</v>
          </cell>
          <cell r="L18">
            <v>43481.390849113319</v>
          </cell>
          <cell r="M18">
            <v>45794.617047833977</v>
          </cell>
          <cell r="N18">
            <v>60927.778966408216</v>
          </cell>
        </row>
        <row r="19">
          <cell r="C19">
            <v>59001.003114284846</v>
          </cell>
          <cell r="D19">
            <v>73908.231937394798</v>
          </cell>
          <cell r="E19">
            <v>109747.61962915756</v>
          </cell>
          <cell r="F19">
            <v>30137.431071750409</v>
          </cell>
          <cell r="G19">
            <v>56686.48498495714</v>
          </cell>
          <cell r="H19">
            <v>60711.854190899248</v>
          </cell>
          <cell r="I19">
            <v>64043.592793827323</v>
          </cell>
          <cell r="J19">
            <v>65931.948183836779</v>
          </cell>
          <cell r="K19">
            <v>107807.41098053614</v>
          </cell>
          <cell r="L19">
            <v>43481.390849113319</v>
          </cell>
          <cell r="M19">
            <v>45794.617047833977</v>
          </cell>
          <cell r="N19">
            <v>60927.778966408216</v>
          </cell>
        </row>
        <row r="20">
          <cell r="C20">
            <v>59001.003114284846</v>
          </cell>
          <cell r="D20">
            <v>73908.231937394798</v>
          </cell>
          <cell r="E20">
            <v>109747.61962915756</v>
          </cell>
          <cell r="F20">
            <v>30137.431071750409</v>
          </cell>
          <cell r="G20">
            <v>56686.48498495714</v>
          </cell>
          <cell r="H20">
            <v>60711.854190899248</v>
          </cell>
          <cell r="I20">
            <v>64043.592793827323</v>
          </cell>
          <cell r="J20">
            <v>65931.948183836779</v>
          </cell>
          <cell r="K20">
            <v>107807.41098053614</v>
          </cell>
          <cell r="L20">
            <v>43481.390849113319</v>
          </cell>
          <cell r="M20">
            <v>45794.617047833977</v>
          </cell>
          <cell r="N20">
            <v>60927.778966408216</v>
          </cell>
        </row>
        <row r="21">
          <cell r="C21">
            <v>59001.003114284846</v>
          </cell>
          <cell r="D21">
            <v>73908.231937394798</v>
          </cell>
          <cell r="E21">
            <v>109747.61962915756</v>
          </cell>
          <cell r="F21">
            <v>30137.431071750409</v>
          </cell>
          <cell r="G21">
            <v>56686.48498495714</v>
          </cell>
          <cell r="H21">
            <v>60711.854190899248</v>
          </cell>
          <cell r="I21">
            <v>64043.592793827323</v>
          </cell>
          <cell r="J21">
            <v>65931.948183836779</v>
          </cell>
          <cell r="K21">
            <v>107807.41098053614</v>
          </cell>
          <cell r="L21">
            <v>43481.390849113319</v>
          </cell>
          <cell r="M21">
            <v>45794.617047833977</v>
          </cell>
          <cell r="N21">
            <v>60927.778966408216</v>
          </cell>
        </row>
        <row r="22">
          <cell r="C22">
            <v>59001.003114284846</v>
          </cell>
          <cell r="D22">
            <v>73908.231937394798</v>
          </cell>
          <cell r="E22">
            <v>109747.61962915756</v>
          </cell>
          <cell r="F22">
            <v>30137.431071750409</v>
          </cell>
          <cell r="G22">
            <v>56686.48498495714</v>
          </cell>
          <cell r="H22">
            <v>60711.854190899248</v>
          </cell>
          <cell r="I22">
            <v>64043.592793827323</v>
          </cell>
          <cell r="J22">
            <v>65931.948183836779</v>
          </cell>
          <cell r="K22">
            <v>107807.41098053614</v>
          </cell>
          <cell r="L22">
            <v>43481.390849113319</v>
          </cell>
          <cell r="M22">
            <v>45794.617047833977</v>
          </cell>
          <cell r="N22">
            <v>60927.778966408216</v>
          </cell>
        </row>
        <row r="23">
          <cell r="C23">
            <v>59001.003114284846</v>
          </cell>
          <cell r="D23">
            <v>73908.231937394798</v>
          </cell>
          <cell r="E23">
            <v>109747.61962915756</v>
          </cell>
          <cell r="F23">
            <v>30137.431071750409</v>
          </cell>
          <cell r="G23">
            <v>56686.48498495714</v>
          </cell>
          <cell r="H23">
            <v>60711.854190899248</v>
          </cell>
          <cell r="I23">
            <v>64043.592793827323</v>
          </cell>
          <cell r="J23">
            <v>65931.948183836779</v>
          </cell>
          <cell r="K23">
            <v>107807.41098053614</v>
          </cell>
          <cell r="L23">
            <v>43481.390849113319</v>
          </cell>
          <cell r="M23">
            <v>45794.617047833977</v>
          </cell>
          <cell r="N23">
            <v>60927.778966408216</v>
          </cell>
        </row>
        <row r="24">
          <cell r="C24">
            <v>59001.003114284846</v>
          </cell>
          <cell r="D24">
            <v>73908.231937394798</v>
          </cell>
          <cell r="E24">
            <v>109747.61962915756</v>
          </cell>
          <cell r="F24">
            <v>30137.431071750409</v>
          </cell>
          <cell r="G24">
            <v>56686.48498495714</v>
          </cell>
          <cell r="H24">
            <v>60711.854190899248</v>
          </cell>
          <cell r="I24">
            <v>64043.592793827323</v>
          </cell>
          <cell r="J24">
            <v>65931.948183836779</v>
          </cell>
          <cell r="K24">
            <v>107807.41098053614</v>
          </cell>
          <cell r="L24">
            <v>43481.390849113319</v>
          </cell>
          <cell r="M24">
            <v>45794.617047833977</v>
          </cell>
          <cell r="N24">
            <v>60927.778966408216</v>
          </cell>
        </row>
        <row r="25">
          <cell r="C25">
            <v>59001.003114284846</v>
          </cell>
          <cell r="D25">
            <v>73908.231937394798</v>
          </cell>
          <cell r="E25">
            <v>109747.61962915756</v>
          </cell>
          <cell r="F25">
            <v>30137.431071750409</v>
          </cell>
          <cell r="G25">
            <v>56686.48498495714</v>
          </cell>
          <cell r="H25">
            <v>60711.854190899248</v>
          </cell>
          <cell r="I25">
            <v>64043.592793827323</v>
          </cell>
          <cell r="J25">
            <v>65931.948183836779</v>
          </cell>
          <cell r="K25">
            <v>107807.41098053614</v>
          </cell>
          <cell r="L25">
            <v>43481.390849113319</v>
          </cell>
          <cell r="M25">
            <v>45794.617047833977</v>
          </cell>
          <cell r="N25">
            <v>60927.778966408216</v>
          </cell>
        </row>
        <row r="26">
          <cell r="C26">
            <v>59001.003114284846</v>
          </cell>
          <cell r="D26">
            <v>73908.231937394798</v>
          </cell>
          <cell r="E26">
            <v>109747.61962915756</v>
          </cell>
          <cell r="F26">
            <v>30137.431071750409</v>
          </cell>
          <cell r="G26">
            <v>56686.48498495714</v>
          </cell>
          <cell r="H26">
            <v>60711.854190899248</v>
          </cell>
          <cell r="I26">
            <v>64043.592793827323</v>
          </cell>
          <cell r="J26">
            <v>65931.948183836779</v>
          </cell>
          <cell r="K26">
            <v>107807.41098053614</v>
          </cell>
          <cell r="L26">
            <v>43481.390849113319</v>
          </cell>
          <cell r="M26">
            <v>45794.617047833977</v>
          </cell>
          <cell r="N26">
            <v>60927.778966408216</v>
          </cell>
        </row>
      </sheetData>
      <sheetData sheetId="28">
        <row r="7">
          <cell r="C7">
            <v>56963.546951054755</v>
          </cell>
          <cell r="D7">
            <v>86906.697217008536</v>
          </cell>
          <cell r="E7">
            <v>59746.246585840105</v>
          </cell>
          <cell r="F7">
            <v>67867.982827057887</v>
          </cell>
          <cell r="G7">
            <v>64660.762935787861</v>
          </cell>
          <cell r="H7">
            <v>67599.96159390721</v>
          </cell>
          <cell r="I7">
            <v>68696.572300394633</v>
          </cell>
          <cell r="J7">
            <v>71269.225402021868</v>
          </cell>
          <cell r="K7">
            <v>68949.326174828399</v>
          </cell>
          <cell r="L7">
            <v>67391.350673871697</v>
          </cell>
          <cell r="M7">
            <v>65860.428313614349</v>
          </cell>
          <cell r="N7">
            <v>66121.899024612852</v>
          </cell>
        </row>
        <row r="8">
          <cell r="C8">
            <v>83565.812532257987</v>
          </cell>
          <cell r="D8">
            <v>127492.56596809882</v>
          </cell>
          <cell r="E8">
            <v>87648.047021866951</v>
          </cell>
          <cell r="F8">
            <v>99562.675314820954</v>
          </cell>
          <cell r="G8">
            <v>94857.667454023816</v>
          </cell>
          <cell r="H8">
            <v>99169.486805275053</v>
          </cell>
          <cell r="I8">
            <v>100778.22027824391</v>
          </cell>
          <cell r="J8">
            <v>104552.31543748386</v>
          </cell>
          <cell r="K8">
            <v>101149.01149505284</v>
          </cell>
          <cell r="L8">
            <v>98863.453526644254</v>
          </cell>
          <cell r="M8">
            <v>96617.582652967249</v>
          </cell>
          <cell r="N8">
            <v>97001.161513264538</v>
          </cell>
        </row>
        <row r="9">
          <cell r="C9">
            <v>88481.44856356729</v>
          </cell>
          <cell r="D9">
            <v>134992.12867210462</v>
          </cell>
          <cell r="E9">
            <v>92803.814493741476</v>
          </cell>
          <cell r="F9">
            <v>105419.30327451631</v>
          </cell>
          <cell r="G9">
            <v>100437.53024543698</v>
          </cell>
          <cell r="H9">
            <v>105002.98602911476</v>
          </cell>
          <cell r="I9">
            <v>106706.3508828465</v>
          </cell>
          <cell r="J9">
            <v>110702.45163968879</v>
          </cell>
          <cell r="K9">
            <v>107098.95334770301</v>
          </cell>
          <cell r="L9">
            <v>104678.95079291746</v>
          </cell>
          <cell r="M9">
            <v>102300.96986784769</v>
          </cell>
          <cell r="N9">
            <v>102707.1121905154</v>
          </cell>
        </row>
        <row r="10">
          <cell r="C10">
            <v>73445.385408974151</v>
          </cell>
          <cell r="D10">
            <v>112052.28981279273</v>
          </cell>
          <cell r="E10">
            <v>77033.231638595869</v>
          </cell>
          <cell r="F10">
            <v>87504.911868389361</v>
          </cell>
          <cell r="G10">
            <v>83369.714648173191</v>
          </cell>
          <cell r="H10">
            <v>87159.341344428598</v>
          </cell>
          <cell r="I10">
            <v>88573.245504062128</v>
          </cell>
          <cell r="J10">
            <v>91890.270315297239</v>
          </cell>
          <cell r="K10">
            <v>88899.131210184845</v>
          </cell>
          <cell r="L10">
            <v>86890.370919611218</v>
          </cell>
          <cell r="M10">
            <v>84916.491328213437</v>
          </cell>
          <cell r="N10">
            <v>85253.616001277493</v>
          </cell>
        </row>
        <row r="11">
          <cell r="C11">
            <v>44385.301812116275</v>
          </cell>
          <cell r="D11">
            <v>67716.63970969955</v>
          </cell>
          <cell r="E11">
            <v>46553.54746663176</v>
          </cell>
          <cell r="F11">
            <v>52881.905400778611</v>
          </cell>
          <cell r="G11">
            <v>50382.878734230646</v>
          </cell>
          <cell r="H11">
            <v>52673.066521140907</v>
          </cell>
          <cell r="I11">
            <v>53527.532223911563</v>
          </cell>
          <cell r="J11">
            <v>55532.112178732787</v>
          </cell>
          <cell r="K11">
            <v>53724.474963635337</v>
          </cell>
          <cell r="L11">
            <v>52510.519433702058</v>
          </cell>
          <cell r="M11">
            <v>51317.643381420326</v>
          </cell>
          <cell r="N11">
            <v>51521.378174000376</v>
          </cell>
        </row>
        <row r="12">
          <cell r="C12">
            <v>137493.23134632761</v>
          </cell>
          <cell r="D12">
            <v>209767.18033851555</v>
          </cell>
          <cell r="E12">
            <v>144209.84899272575</v>
          </cell>
          <cell r="F12">
            <v>163813.32910794936</v>
          </cell>
          <cell r="G12">
            <v>156072.0445480565</v>
          </cell>
          <cell r="H12">
            <v>163166.40476092836</v>
          </cell>
          <cell r="I12">
            <v>165813.30014638402</v>
          </cell>
          <cell r="J12">
            <v>172022.92730284977</v>
          </cell>
          <cell r="K12">
            <v>166423.37358442086</v>
          </cell>
          <cell r="L12">
            <v>162662.87941840605</v>
          </cell>
          <cell r="M12">
            <v>158967.68356915549</v>
          </cell>
          <cell r="N12">
            <v>159598.7968842813</v>
          </cell>
        </row>
        <row r="13">
          <cell r="C13">
            <v>134890.83580034031</v>
          </cell>
          <cell r="D13">
            <v>205796.82361286538</v>
          </cell>
          <cell r="E13">
            <v>141480.32503702745</v>
          </cell>
          <cell r="F13">
            <v>160712.76136458124</v>
          </cell>
          <cell r="G13">
            <v>153117.99954083774</v>
          </cell>
          <cell r="H13">
            <v>160078.08164242495</v>
          </cell>
          <cell r="I13">
            <v>162674.87806159441</v>
          </cell>
          <cell r="J13">
            <v>168766.9728428589</v>
          </cell>
          <cell r="K13">
            <v>163273.40436831192</v>
          </cell>
          <cell r="L13">
            <v>159584.08674802611</v>
          </cell>
          <cell r="M13">
            <v>155958.83151421876</v>
          </cell>
          <cell r="N13">
            <v>156577.99946691317</v>
          </cell>
        </row>
        <row r="14">
          <cell r="C14">
            <v>65349.043710347076</v>
          </cell>
          <cell r="D14">
            <v>99700.068888547859</v>
          </cell>
          <cell r="E14">
            <v>68541.379331978998</v>
          </cell>
          <cell r="F14">
            <v>77858.701111244067</v>
          </cell>
          <cell r="G14">
            <v>74179.352403492667</v>
          </cell>
          <cell r="H14">
            <v>77551.224975751422</v>
          </cell>
          <cell r="I14">
            <v>78809.265684716695</v>
          </cell>
          <cell r="J14">
            <v>81760.634217547937</v>
          </cell>
          <cell r="K14">
            <v>79099.226982290449</v>
          </cell>
          <cell r="L14">
            <v>77311.90483398478</v>
          </cell>
          <cell r="M14">
            <v>75555.618268410384</v>
          </cell>
          <cell r="N14">
            <v>75855.579591687841</v>
          </cell>
        </row>
        <row r="15">
          <cell r="C15">
            <v>73445.385408974151</v>
          </cell>
          <cell r="D15">
            <v>112052.28981279273</v>
          </cell>
          <cell r="E15">
            <v>77033.231638595869</v>
          </cell>
          <cell r="F15">
            <v>87504.911868389361</v>
          </cell>
          <cell r="G15">
            <v>83369.714648173191</v>
          </cell>
          <cell r="H15">
            <v>87159.341344428598</v>
          </cell>
          <cell r="I15">
            <v>88573.245504062128</v>
          </cell>
          <cell r="J15">
            <v>91890.270315297239</v>
          </cell>
          <cell r="K15">
            <v>88899.131210184845</v>
          </cell>
          <cell r="L15">
            <v>86890.370919611218</v>
          </cell>
          <cell r="M15">
            <v>84916.491328213437</v>
          </cell>
          <cell r="N15">
            <v>85253.616001277493</v>
          </cell>
        </row>
        <row r="16">
          <cell r="C16">
            <v>128963.15705670265</v>
          </cell>
          <cell r="D16">
            <v>196753.23329332899</v>
          </cell>
          <cell r="E16">
            <v>135263.07602682582</v>
          </cell>
          <cell r="F16">
            <v>153650.35706024274</v>
          </cell>
          <cell r="G16">
            <v>146389.34146883953</v>
          </cell>
          <cell r="H16">
            <v>153043.5678725006</v>
          </cell>
          <cell r="I16">
            <v>155526.24997957365</v>
          </cell>
          <cell r="J16">
            <v>161350.6321284353</v>
          </cell>
          <cell r="K16">
            <v>156098.47448717497</v>
          </cell>
          <cell r="L16">
            <v>152571.28122104963</v>
          </cell>
          <cell r="M16">
            <v>149105.33516686296</v>
          </cell>
          <cell r="N16">
            <v>149697.29423846363</v>
          </cell>
        </row>
        <row r="17">
          <cell r="C17">
            <v>72577.9202269784</v>
          </cell>
          <cell r="D17">
            <v>110728.83757090935</v>
          </cell>
          <cell r="E17">
            <v>76123.390320029779</v>
          </cell>
          <cell r="F17">
            <v>86471.389287266647</v>
          </cell>
          <cell r="G17">
            <v>82385.032979100273</v>
          </cell>
          <cell r="H17">
            <v>86129.900304927476</v>
          </cell>
          <cell r="I17">
            <v>87527.104809132259</v>
          </cell>
          <cell r="J17">
            <v>90804.952161966954</v>
          </cell>
          <cell r="K17">
            <v>87849.141471481882</v>
          </cell>
          <cell r="L17">
            <v>85864.106696151255</v>
          </cell>
          <cell r="M17">
            <v>83913.540643234548</v>
          </cell>
          <cell r="N17">
            <v>84246.683528821464</v>
          </cell>
        </row>
        <row r="18">
          <cell r="C18">
            <v>62023.760512696681</v>
          </cell>
          <cell r="D18">
            <v>94626.835294661578</v>
          </cell>
          <cell r="E18">
            <v>65053.654277475653</v>
          </cell>
          <cell r="F18">
            <v>73896.864550273691</v>
          </cell>
          <cell r="G18">
            <v>70404.739338713189</v>
          </cell>
          <cell r="H18">
            <v>73605.034324330452</v>
          </cell>
          <cell r="I18">
            <v>74799.05968748554</v>
          </cell>
          <cell r="J18">
            <v>77600.247963115195</v>
          </cell>
          <cell r="K18">
            <v>75074.266317262402</v>
          </cell>
          <cell r="L18">
            <v>73377.891977388223</v>
          </cell>
          <cell r="M18">
            <v>71710.973975991277</v>
          </cell>
          <cell r="N18">
            <v>71995.671780606383</v>
          </cell>
        </row>
        <row r="19">
          <cell r="C19">
            <v>43951.569221118392</v>
          </cell>
          <cell r="D19">
            <v>67054.91358875786</v>
          </cell>
          <cell r="E19">
            <v>46098.626807348708</v>
          </cell>
          <cell r="F19">
            <v>52365.144110217254</v>
          </cell>
          <cell r="G19">
            <v>49890.537899694187</v>
          </cell>
          <cell r="H19">
            <v>52158.346001390346</v>
          </cell>
          <cell r="I19">
            <v>53004.461876446629</v>
          </cell>
          <cell r="J19">
            <v>54989.453102067637</v>
          </cell>
          <cell r="K19">
            <v>53199.480094283848</v>
          </cell>
          <cell r="L19">
            <v>51997.38732197207</v>
          </cell>
          <cell r="M19">
            <v>50816.168038930875</v>
          </cell>
          <cell r="N19">
            <v>51017.911937772355</v>
          </cell>
        </row>
        <row r="20">
          <cell r="C20">
            <v>96866.94532285961</v>
          </cell>
          <cell r="D20">
            <v>147785.50034364397</v>
          </cell>
          <cell r="E20">
            <v>101598.94723988039</v>
          </cell>
          <cell r="F20">
            <v>115410.02155870252</v>
          </cell>
          <cell r="G20">
            <v>109956.1197131418</v>
          </cell>
          <cell r="H20">
            <v>114954.24941095899</v>
          </cell>
          <cell r="I20">
            <v>116819.04426716856</v>
          </cell>
          <cell r="J20">
            <v>121193.86045521488</v>
          </cell>
          <cell r="K20">
            <v>117248.85415516507</v>
          </cell>
          <cell r="L20">
            <v>114599.50495303056</v>
          </cell>
          <cell r="M20">
            <v>111996.15982264372</v>
          </cell>
          <cell r="N20">
            <v>112440.7927575904</v>
          </cell>
        </row>
        <row r="21">
          <cell r="C21">
            <v>73445.385408974151</v>
          </cell>
          <cell r="D21">
            <v>112052.28981279273</v>
          </cell>
          <cell r="E21">
            <v>77033.231638595869</v>
          </cell>
          <cell r="F21">
            <v>87504.911868389361</v>
          </cell>
          <cell r="G21">
            <v>83369.714648173191</v>
          </cell>
          <cell r="H21">
            <v>87159.341344428598</v>
          </cell>
          <cell r="I21">
            <v>88573.245504062128</v>
          </cell>
          <cell r="J21">
            <v>91890.270315297239</v>
          </cell>
          <cell r="K21">
            <v>88899.131210184845</v>
          </cell>
          <cell r="L21">
            <v>86890.370919611218</v>
          </cell>
          <cell r="M21">
            <v>84916.491328213437</v>
          </cell>
          <cell r="N21">
            <v>85253.616001277493</v>
          </cell>
        </row>
        <row r="22">
          <cell r="C22">
            <v>24578.18015654647</v>
          </cell>
          <cell r="D22">
            <v>37497.813520029071</v>
          </cell>
          <cell r="E22">
            <v>25778.837359372636</v>
          </cell>
          <cell r="F22">
            <v>29283.139798476757</v>
          </cell>
          <cell r="G22">
            <v>27899.313957065831</v>
          </cell>
          <cell r="H22">
            <v>29167.496119198549</v>
          </cell>
          <cell r="I22">
            <v>29640.653023012917</v>
          </cell>
          <cell r="J22">
            <v>30750.68101102467</v>
          </cell>
          <cell r="K22">
            <v>29749.709263250839</v>
          </cell>
          <cell r="L22">
            <v>29077.486331365963</v>
          </cell>
          <cell r="M22">
            <v>28416.936074402136</v>
          </cell>
          <cell r="N22">
            <v>28529.75338625428</v>
          </cell>
        </row>
        <row r="23">
          <cell r="C23">
            <v>58987.632375711531</v>
          </cell>
          <cell r="D23">
            <v>89994.752448069761</v>
          </cell>
          <cell r="E23">
            <v>61869.20966249433</v>
          </cell>
          <cell r="F23">
            <v>70279.535516344215</v>
          </cell>
          <cell r="G23">
            <v>66958.353496957992</v>
          </cell>
          <cell r="H23">
            <v>70001.990686076519</v>
          </cell>
          <cell r="I23">
            <v>71137.567255230999</v>
          </cell>
          <cell r="J23">
            <v>73801.634426459204</v>
          </cell>
          <cell r="K23">
            <v>71399.302231802008</v>
          </cell>
          <cell r="L23">
            <v>69785.96719527831</v>
          </cell>
          <cell r="M23">
            <v>68200.646578565123</v>
          </cell>
          <cell r="N23">
            <v>68471.408127010276</v>
          </cell>
        </row>
        <row r="24">
          <cell r="C24">
            <v>5349.3686223071727</v>
          </cell>
          <cell r="D24">
            <v>8161.2888249475027</v>
          </cell>
          <cell r="E24">
            <v>5610.6881311575735</v>
          </cell>
          <cell r="F24">
            <v>6373.389250256706</v>
          </cell>
          <cell r="G24">
            <v>6072.2036259496217</v>
          </cell>
          <cell r="H24">
            <v>6348.2197435902726</v>
          </cell>
          <cell r="I24">
            <v>6451.2009520675174</v>
          </cell>
          <cell r="J24">
            <v>6692.795278870075</v>
          </cell>
          <cell r="K24">
            <v>6474.9367220016529</v>
          </cell>
          <cell r="L24">
            <v>6328.6293780031801</v>
          </cell>
          <cell r="M24">
            <v>6184.8625573698764</v>
          </cell>
          <cell r="N24">
            <v>6209.4169134788726</v>
          </cell>
        </row>
        <row r="25">
          <cell r="C25">
            <v>54505.728935400104</v>
          </cell>
          <cell r="D25">
            <v>83156.91586500562</v>
          </cell>
          <cell r="E25">
            <v>57168.362849902842</v>
          </cell>
          <cell r="F25">
            <v>64939.668847210211</v>
          </cell>
          <cell r="G25">
            <v>61870.831540081279</v>
          </cell>
          <cell r="H25">
            <v>64683.211981987362</v>
          </cell>
          <cell r="I25">
            <v>65732.506998093348</v>
          </cell>
          <cell r="J25">
            <v>68194.157300919396</v>
          </cell>
          <cell r="K25">
            <v>65974.355248503314</v>
          </cell>
          <cell r="L25">
            <v>64483.602040735095</v>
          </cell>
          <cell r="M25">
            <v>63018.734706174146</v>
          </cell>
          <cell r="N25">
            <v>63268.923685987422</v>
          </cell>
        </row>
        <row r="26">
          <cell r="C26">
            <v>66505.663953008087</v>
          </cell>
          <cell r="D26">
            <v>101464.6718777257</v>
          </cell>
          <cell r="E26">
            <v>69754.501090067133</v>
          </cell>
          <cell r="F26">
            <v>79236.73121940768</v>
          </cell>
          <cell r="G26">
            <v>75492.261295589895</v>
          </cell>
          <cell r="H26">
            <v>78923.813028419594</v>
          </cell>
          <cell r="I26">
            <v>80204.119944623177</v>
          </cell>
          <cell r="J26">
            <v>83207.725088654974</v>
          </cell>
          <cell r="K26">
            <v>80499.213300561081</v>
          </cell>
          <cell r="L26">
            <v>78680.257131931416</v>
          </cell>
          <cell r="M26">
            <v>76892.885848382241</v>
          </cell>
          <cell r="N26">
            <v>77198.156221629222</v>
          </cell>
        </row>
      </sheetData>
      <sheetData sheetId="29"/>
      <sheetData sheetId="30"/>
      <sheetData sheetId="31"/>
      <sheetData sheetId="32"/>
      <sheetData sheetId="33"/>
      <sheetData sheetId="34"/>
      <sheetData sheetId="35"/>
      <sheetData sheetId="3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22.55 POE"/>
      <sheetName val="CONCENTRADO A AYUNT"/>
      <sheetName val="CONCENTRADO A EDO"/>
      <sheetName val="partrecib"/>
      <sheetName val="TRANSMUNI"/>
      <sheetName val="Hoja1"/>
      <sheetName val="X22.55 DOF"/>
      <sheetName val="CONCENTRADO"/>
      <sheetName val="FGP"/>
      <sheetName val="FFM"/>
      <sheetName val="FOFIR"/>
      <sheetName val="FOCO"/>
      <sheetName val="IEPS"/>
      <sheetName val="GAS Y DIESEL"/>
      <sheetName val="ISR"/>
      <sheetName val="Foco ISAN"/>
      <sheetName val="ISAN"/>
      <sheetName val="REPECOS E INT"/>
      <sheetName val="OTROS INC"/>
    </sheetNames>
    <sheetDataSet>
      <sheetData sheetId="0"/>
      <sheetData sheetId="1"/>
      <sheetData sheetId="2"/>
      <sheetData sheetId="3"/>
      <sheetData sheetId="4"/>
      <sheetData sheetId="5"/>
      <sheetData sheetId="6">
        <row r="7">
          <cell r="B7">
            <v>7.2537317874875118</v>
          </cell>
          <cell r="C7">
            <v>9.9517127433424371</v>
          </cell>
          <cell r="D7">
            <v>7.90593914269677</v>
          </cell>
          <cell r="E7">
            <v>10.383001331499043</v>
          </cell>
          <cell r="F7">
            <v>8.5326043256523842</v>
          </cell>
          <cell r="G7">
            <v>8.8750962558932258</v>
          </cell>
          <cell r="H7">
            <v>8.332785508207543</v>
          </cell>
          <cell r="I7">
            <v>8.4122719618413715</v>
          </cell>
          <cell r="J7">
            <v>7.8574853315291122</v>
          </cell>
          <cell r="K7">
            <v>7.0866184219510933</v>
          </cell>
          <cell r="L7">
            <v>7.7596408585861099</v>
          </cell>
          <cell r="M7">
            <v>7.649112331313396</v>
          </cell>
        </row>
        <row r="17">
          <cell r="B17">
            <v>7.2514418630059367</v>
          </cell>
          <cell r="C17">
            <v>9.9551454118910687</v>
          </cell>
          <cell r="D17">
            <v>7.9050325997331639</v>
          </cell>
          <cell r="E17">
            <v>10.387348814176796</v>
          </cell>
          <cell r="F17">
            <v>8.5330269910677341</v>
          </cell>
          <cell r="G17">
            <v>8.8762453863084652</v>
          </cell>
          <cell r="H17">
            <v>8.3327842894151072</v>
          </cell>
          <cell r="I17">
            <v>8.4124394627306067</v>
          </cell>
          <cell r="J17">
            <v>7.8564760450697397</v>
          </cell>
          <cell r="K17">
            <v>7.0839740197724144</v>
          </cell>
          <cell r="L17">
            <v>7.7584240353313625</v>
          </cell>
          <cell r="M17">
            <v>7.6476610814976063</v>
          </cell>
        </row>
        <row r="29">
          <cell r="B29">
            <v>7.9320978817451495</v>
          </cell>
          <cell r="C29">
            <v>11.363296399957122</v>
          </cell>
          <cell r="D29">
            <v>9.4675608659466874</v>
          </cell>
          <cell r="E29">
            <v>6.5738412320350701</v>
          </cell>
          <cell r="F29">
            <v>7.5302600743645236</v>
          </cell>
          <cell r="G29">
            <v>8.0197442600698157</v>
          </cell>
          <cell r="H29">
            <v>8.2168680514784214</v>
          </cell>
          <cell r="I29">
            <v>9.0119659632992377</v>
          </cell>
          <cell r="J29">
            <v>8.9968351588805771</v>
          </cell>
          <cell r="K29">
            <v>7.8506607024657598</v>
          </cell>
          <cell r="L29">
            <v>7.5366877101257401</v>
          </cell>
          <cell r="M29">
            <v>7.500181699631896</v>
          </cell>
        </row>
        <row r="38">
          <cell r="B38">
            <v>7.863422435355699</v>
          </cell>
          <cell r="C38">
            <v>8.4061402258748288</v>
          </cell>
          <cell r="D38">
            <v>7.912359428855094</v>
          </cell>
          <cell r="E38">
            <v>8.7165170739277134</v>
          </cell>
          <cell r="F38">
            <v>8.5895446247460026</v>
          </cell>
          <cell r="G38">
            <v>8.901446648468756</v>
          </cell>
          <cell r="H38">
            <v>8.3809748273219942</v>
          </cell>
          <cell r="I38">
            <v>8.700502729394092</v>
          </cell>
          <cell r="J38">
            <v>8.5617099438187356</v>
          </cell>
          <cell r="K38">
            <v>7.8189412943148229</v>
          </cell>
          <cell r="L38">
            <v>8.2284554607178233</v>
          </cell>
          <cell r="M38">
            <v>7.9199853072044375</v>
          </cell>
        </row>
        <row r="47">
          <cell r="B47">
            <v>10.472959698551817</v>
          </cell>
          <cell r="C47">
            <v>5.0359239549016088</v>
          </cell>
          <cell r="D47">
            <v>5.0359239549016088</v>
          </cell>
          <cell r="E47">
            <v>18.464872531870931</v>
          </cell>
          <cell r="F47">
            <v>5.0359239549016088</v>
          </cell>
          <cell r="G47">
            <v>5.0359239549016088</v>
          </cell>
          <cell r="H47">
            <v>17.64041034258565</v>
          </cell>
          <cell r="I47">
            <v>5.0359239549016088</v>
          </cell>
          <cell r="J47">
            <v>5.0359239549016088</v>
          </cell>
          <cell r="K47">
            <v>13.134365787778732</v>
          </cell>
          <cell r="L47">
            <v>5.0359239549016088</v>
          </cell>
          <cell r="M47">
            <v>5.0359239549016088</v>
          </cell>
        </row>
        <row r="56">
          <cell r="B56" t="e">
            <v>#DIV/0!</v>
          </cell>
          <cell r="C56" t="e">
            <v>#DIV/0!</v>
          </cell>
          <cell r="D56" t="e">
            <v>#DIV/0!</v>
          </cell>
          <cell r="E56" t="e">
            <v>#DIV/0!</v>
          </cell>
          <cell r="F56" t="e">
            <v>#DIV/0!</v>
          </cell>
          <cell r="G56" t="e">
            <v>#DIV/0!</v>
          </cell>
          <cell r="H56" t="e">
            <v>#DIV/0!</v>
          </cell>
          <cell r="I56" t="e">
            <v>#DIV/0!</v>
          </cell>
          <cell r="J56" t="e">
            <v>#DIV/0!</v>
          </cell>
          <cell r="K56" t="e">
            <v>#DIV/0!</v>
          </cell>
          <cell r="L56" t="e">
            <v>#DIV/0!</v>
          </cell>
          <cell r="M56" t="e">
            <v>#DIV/0!</v>
          </cell>
        </row>
        <row r="65">
          <cell r="B65">
            <v>14.102008691735502</v>
          </cell>
          <cell r="C65">
            <v>8.2524686576746529</v>
          </cell>
          <cell r="D65">
            <v>6.4404026241050545</v>
          </cell>
          <cell r="E65">
            <v>6.250286614940916</v>
          </cell>
          <cell r="F65">
            <v>7.0905120560452355</v>
          </cell>
          <cell r="G65">
            <v>6.3951999143139107</v>
          </cell>
          <cell r="H65">
            <v>7.3736876176691748</v>
          </cell>
          <cell r="I65">
            <v>8.0078447687198029</v>
          </cell>
          <cell r="J65">
            <v>8.2803880939054206</v>
          </cell>
          <cell r="K65">
            <v>8.907894207833996</v>
          </cell>
          <cell r="L65">
            <v>8.8879528751640375</v>
          </cell>
          <cell r="M65">
            <v>10.011353877892299</v>
          </cell>
        </row>
        <row r="74">
          <cell r="B74">
            <v>8.3333333333333321</v>
          </cell>
          <cell r="C74">
            <v>8.3333333333333321</v>
          </cell>
          <cell r="D74">
            <v>8.3333333333333321</v>
          </cell>
          <cell r="E74">
            <v>8.3333333333333321</v>
          </cell>
          <cell r="F74">
            <v>8.3333333333333321</v>
          </cell>
          <cell r="G74">
            <v>8.3333333333333321</v>
          </cell>
          <cell r="H74">
            <v>8.3333333333333321</v>
          </cell>
          <cell r="I74">
            <v>8.3333333333333321</v>
          </cell>
          <cell r="J74">
            <v>8.3333333333333321</v>
          </cell>
          <cell r="K74">
            <v>8.3333333333333321</v>
          </cell>
          <cell r="L74">
            <v>8.3333333333333321</v>
          </cell>
          <cell r="M74">
            <v>8.3333333333333321</v>
          </cell>
        </row>
        <row r="84">
          <cell r="B84">
            <v>10.01373722301582</v>
          </cell>
          <cell r="C84">
            <v>10.292168842074197</v>
          </cell>
          <cell r="D84">
            <v>7.5736943890951753</v>
          </cell>
          <cell r="E84">
            <v>7.9930563338445015</v>
          </cell>
          <cell r="F84">
            <v>7.125244544450883</v>
          </cell>
          <cell r="G84">
            <v>7.4155784113680427</v>
          </cell>
          <cell r="H84">
            <v>7.6567350274392476</v>
          </cell>
          <cell r="I84">
            <v>9.239533475768404</v>
          </cell>
          <cell r="J84">
            <v>8.8062079933585231</v>
          </cell>
          <cell r="K84">
            <v>6.2227482456882326</v>
          </cell>
          <cell r="L84">
            <v>9.9371300953710282</v>
          </cell>
          <cell r="M84">
            <v>7.7241654185259438</v>
          </cell>
        </row>
        <row r="94">
          <cell r="B94">
            <v>11.156141160800644</v>
          </cell>
          <cell r="C94">
            <v>8.6606126465231412</v>
          </cell>
          <cell r="D94">
            <v>10.579119880704347</v>
          </cell>
          <cell r="E94">
            <v>4.9757936658028159</v>
          </cell>
          <cell r="F94">
            <v>9.3002253380226811</v>
          </cell>
          <cell r="G94">
            <v>6.5760503978891309</v>
          </cell>
          <cell r="H94">
            <v>10.968948132553944</v>
          </cell>
          <cell r="I94">
            <v>5.3193132148442155</v>
          </cell>
          <cell r="J94">
            <v>10.695423664721773</v>
          </cell>
          <cell r="K94">
            <v>5.3843635745525855</v>
          </cell>
          <cell r="L94">
            <v>10.0667644702178</v>
          </cell>
          <cell r="M94">
            <v>6.3172438533669215</v>
          </cell>
        </row>
        <row r="104">
          <cell r="B104">
            <v>4.3185975031649786</v>
          </cell>
          <cell r="C104">
            <v>6.2984686070703164</v>
          </cell>
          <cell r="D104">
            <v>8.5112123463757356</v>
          </cell>
          <cell r="E104">
            <v>8.153809197902806</v>
          </cell>
          <cell r="F104">
            <v>8.5234571253373161</v>
          </cell>
          <cell r="G104">
            <v>9.3056849521561826</v>
          </cell>
          <cell r="H104">
            <v>8.2002299638826397</v>
          </cell>
          <cell r="I104">
            <v>9.3872515371298011</v>
          </cell>
          <cell r="J104">
            <v>7.7873732350646572</v>
          </cell>
          <cell r="K104">
            <v>9.635354621960202</v>
          </cell>
          <cell r="L104">
            <v>10.070058581046936</v>
          </cell>
          <cell r="M104">
            <v>9.8085023289084283</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PUESTA DE CALENDARIO 2019."/>
      <sheetName val="FFMmofidicar"/>
      <sheetName val="Datos"/>
      <sheetName val=" total"/>
      <sheetName val="FGP total"/>
      <sheetName val="FFM"/>
      <sheetName val="FOFIR"/>
      <sheetName val="FOCOmodificado"/>
      <sheetName val="IEPS TyA (2)"/>
      <sheetName val="IEPS GyD"/>
      <sheetName val="FGP 60%"/>
      <sheetName val="FGP 30%"/>
      <sheetName val="FGP 10%"/>
      <sheetName val="CENSO"/>
      <sheetName val="FOCO70 y 30"/>
      <sheetName val="IEPS TyA"/>
      <sheetName val="FOCO"/>
      <sheetName val="FFM factor 2014"/>
      <sheetName val="ISAN"/>
      <sheetName val="ISAN modificado"/>
      <sheetName val="ISAN  ok"/>
      <sheetName val="FOCO isan"/>
      <sheetName val="Hoja1"/>
    </sheetNames>
    <sheetDataSet>
      <sheetData sheetId="0"/>
      <sheetData sheetId="1"/>
      <sheetData sheetId="2">
        <row r="13">
          <cell r="I13">
            <v>976528016.10000002</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R53"/>
  <sheetViews>
    <sheetView tabSelected="1" topLeftCell="A16" workbookViewId="0">
      <selection sqref="A1:G1"/>
    </sheetView>
  </sheetViews>
  <sheetFormatPr baseColWidth="10" defaultRowHeight="15" x14ac:dyDescent="0.25"/>
  <cols>
    <col min="1" max="1" width="15.85546875" bestFit="1" customWidth="1"/>
    <col min="2" max="4" width="15.85546875" customWidth="1"/>
    <col min="5" max="5" width="15.85546875" bestFit="1" customWidth="1"/>
    <col min="6" max="7" width="15.85546875" customWidth="1"/>
  </cols>
  <sheetData>
    <row r="1" spans="1:18" ht="15.75" x14ac:dyDescent="0.25">
      <c r="A1" s="838" t="s">
        <v>335</v>
      </c>
      <c r="B1" s="838"/>
      <c r="C1" s="838"/>
      <c r="D1" s="838"/>
      <c r="E1" s="838"/>
      <c r="F1" s="838"/>
      <c r="G1" s="838"/>
    </row>
    <row r="2" spans="1:18" ht="30" customHeight="1" x14ac:dyDescent="0.25">
      <c r="A2" s="839" t="s">
        <v>417</v>
      </c>
      <c r="B2" s="839"/>
      <c r="C2" s="839"/>
      <c r="D2" s="839"/>
      <c r="E2" s="839"/>
      <c r="F2" s="839"/>
      <c r="G2" s="839"/>
    </row>
    <row r="4" spans="1:18" ht="15.75" x14ac:dyDescent="0.25">
      <c r="A4" s="1"/>
      <c r="B4" s="1"/>
      <c r="C4" s="1"/>
      <c r="D4" s="1"/>
      <c r="E4" s="1"/>
    </row>
    <row r="5" spans="1:18" ht="32.25" customHeight="1" x14ac:dyDescent="0.25">
      <c r="A5" s="824" t="s">
        <v>418</v>
      </c>
      <c r="B5" s="825"/>
      <c r="C5" s="825"/>
      <c r="D5" s="825"/>
      <c r="E5" s="825"/>
      <c r="F5" s="825"/>
      <c r="G5" s="826"/>
      <c r="N5" s="1"/>
      <c r="O5" s="1"/>
      <c r="P5" s="1"/>
      <c r="Q5" s="1"/>
      <c r="R5" s="1"/>
    </row>
    <row r="6" spans="1:18" ht="30" customHeight="1" x14ac:dyDescent="0.25">
      <c r="A6" s="726" t="s">
        <v>336</v>
      </c>
      <c r="B6" s="827" t="s">
        <v>0</v>
      </c>
      <c r="C6" s="828"/>
      <c r="D6" s="827" t="s">
        <v>337</v>
      </c>
      <c r="E6" s="828"/>
      <c r="F6" s="829" t="s">
        <v>416</v>
      </c>
      <c r="G6" s="830"/>
      <c r="N6" s="2"/>
      <c r="O6" s="3"/>
      <c r="P6" s="3"/>
      <c r="Q6" s="3"/>
      <c r="R6" s="3"/>
    </row>
    <row r="7" spans="1:18" ht="15.75" customHeight="1" x14ac:dyDescent="0.25">
      <c r="A7" s="727"/>
      <c r="B7" s="827" t="s">
        <v>338</v>
      </c>
      <c r="C7" s="828"/>
      <c r="D7" s="827" t="s">
        <v>338</v>
      </c>
      <c r="E7" s="828"/>
      <c r="F7" s="831" t="s">
        <v>338</v>
      </c>
      <c r="G7" s="831"/>
      <c r="N7" s="2"/>
      <c r="O7" s="3"/>
      <c r="P7" s="3"/>
      <c r="Q7" s="3"/>
      <c r="R7" s="3"/>
    </row>
    <row r="8" spans="1:18" ht="15.75" x14ac:dyDescent="0.25">
      <c r="A8" s="728" t="s">
        <v>1</v>
      </c>
      <c r="B8" s="728" t="s">
        <v>1</v>
      </c>
      <c r="C8" s="719" t="s">
        <v>343</v>
      </c>
      <c r="D8" s="728" t="s">
        <v>2</v>
      </c>
      <c r="E8" s="719" t="s">
        <v>340</v>
      </c>
      <c r="F8" s="728" t="s">
        <v>1</v>
      </c>
      <c r="G8" s="719" t="s">
        <v>343</v>
      </c>
      <c r="N8" s="4"/>
      <c r="O8" s="4"/>
      <c r="P8" s="6"/>
      <c r="Q8" s="4"/>
      <c r="R8" s="6"/>
    </row>
    <row r="9" spans="1:18" ht="15.75" x14ac:dyDescent="0.25">
      <c r="A9" s="729" t="s">
        <v>2</v>
      </c>
      <c r="B9" s="729" t="s">
        <v>3</v>
      </c>
      <c r="C9" s="720" t="s">
        <v>414</v>
      </c>
      <c r="D9" s="729" t="s">
        <v>3</v>
      </c>
      <c r="E9" s="720" t="s">
        <v>342</v>
      </c>
      <c r="F9" s="729" t="s">
        <v>3</v>
      </c>
      <c r="G9" s="720" t="s">
        <v>414</v>
      </c>
      <c r="N9" s="4"/>
      <c r="O9" s="4"/>
      <c r="P9" s="6"/>
      <c r="Q9" s="4"/>
      <c r="R9" s="6"/>
    </row>
    <row r="10" spans="1:18" ht="15.75" x14ac:dyDescent="0.25">
      <c r="A10" s="729" t="s">
        <v>3</v>
      </c>
      <c r="B10" s="729" t="s">
        <v>3</v>
      </c>
      <c r="C10" s="720" t="s">
        <v>210</v>
      </c>
      <c r="D10" s="729" t="s">
        <v>4</v>
      </c>
      <c r="E10" s="720" t="s">
        <v>174</v>
      </c>
      <c r="F10" s="729" t="s">
        <v>3</v>
      </c>
      <c r="G10" s="720" t="s">
        <v>210</v>
      </c>
      <c r="N10" s="4"/>
      <c r="O10" s="4"/>
      <c r="P10" s="6"/>
      <c r="Q10" s="4"/>
      <c r="R10" s="6"/>
    </row>
    <row r="11" spans="1:18" ht="15.75" x14ac:dyDescent="0.25">
      <c r="A11" s="729" t="s">
        <v>4</v>
      </c>
      <c r="B11" s="730" t="s">
        <v>4</v>
      </c>
      <c r="C11" s="720" t="s">
        <v>345</v>
      </c>
      <c r="D11" s="729" t="s">
        <v>5</v>
      </c>
      <c r="E11" s="720" t="s">
        <v>339</v>
      </c>
      <c r="F11" s="730" t="s">
        <v>4</v>
      </c>
      <c r="G11" s="720" t="s">
        <v>345</v>
      </c>
      <c r="N11" s="4"/>
      <c r="O11" s="4"/>
      <c r="P11" s="6"/>
      <c r="Q11" s="4"/>
      <c r="R11" s="6"/>
    </row>
    <row r="12" spans="1:18" ht="15.75" x14ac:dyDescent="0.25">
      <c r="A12" s="729" t="s">
        <v>5</v>
      </c>
      <c r="B12" s="729" t="s">
        <v>5</v>
      </c>
      <c r="C12" s="720" t="s">
        <v>210</v>
      </c>
      <c r="D12" s="729" t="s">
        <v>6</v>
      </c>
      <c r="E12" s="720" t="s">
        <v>342</v>
      </c>
      <c r="F12" s="729" t="s">
        <v>5</v>
      </c>
      <c r="G12" s="720" t="s">
        <v>210</v>
      </c>
      <c r="N12" s="4"/>
      <c r="O12" s="4"/>
      <c r="P12" s="6"/>
      <c r="Q12" s="4"/>
      <c r="R12" s="6"/>
    </row>
    <row r="13" spans="1:18" ht="15.75" x14ac:dyDescent="0.25">
      <c r="A13" s="729" t="s">
        <v>6</v>
      </c>
      <c r="B13" s="729" t="s">
        <v>7</v>
      </c>
      <c r="C13" s="720" t="s">
        <v>344</v>
      </c>
      <c r="D13" s="729" t="s">
        <v>7</v>
      </c>
      <c r="E13" s="720" t="s">
        <v>341</v>
      </c>
      <c r="F13" s="729" t="s">
        <v>7</v>
      </c>
      <c r="G13" s="720" t="s">
        <v>344</v>
      </c>
      <c r="N13" s="4"/>
      <c r="O13" s="4"/>
      <c r="P13" s="6"/>
      <c r="Q13" s="4"/>
      <c r="R13" s="6"/>
    </row>
    <row r="14" spans="1:18" ht="15.75" x14ac:dyDescent="0.25">
      <c r="A14" s="729" t="s">
        <v>7</v>
      </c>
      <c r="B14" s="729" t="s">
        <v>7</v>
      </c>
      <c r="C14" s="720" t="s">
        <v>345</v>
      </c>
      <c r="D14" s="729" t="s">
        <v>8</v>
      </c>
      <c r="E14" s="720" t="s">
        <v>340</v>
      </c>
      <c r="F14" s="729" t="s">
        <v>7</v>
      </c>
      <c r="G14" s="720" t="s">
        <v>345</v>
      </c>
      <c r="N14" s="4"/>
      <c r="O14" s="4"/>
      <c r="P14" s="6"/>
      <c r="Q14" s="4"/>
      <c r="R14" s="6"/>
    </row>
    <row r="15" spans="1:18" ht="15.75" x14ac:dyDescent="0.25">
      <c r="A15" s="729" t="s">
        <v>8</v>
      </c>
      <c r="B15" s="729" t="s">
        <v>8</v>
      </c>
      <c r="C15" s="720" t="s">
        <v>210</v>
      </c>
      <c r="D15" s="729" t="s">
        <v>9</v>
      </c>
      <c r="E15" s="720" t="s">
        <v>341</v>
      </c>
      <c r="F15" s="729" t="s">
        <v>8</v>
      </c>
      <c r="G15" s="720" t="s">
        <v>210</v>
      </c>
      <c r="N15" s="4"/>
      <c r="O15" s="4"/>
      <c r="P15" s="6"/>
      <c r="Q15" s="4"/>
      <c r="R15" s="6"/>
    </row>
    <row r="16" spans="1:18" ht="15.75" x14ac:dyDescent="0.25">
      <c r="A16" s="729" t="s">
        <v>9</v>
      </c>
      <c r="B16" s="729" t="s">
        <v>10</v>
      </c>
      <c r="C16" s="7" t="s">
        <v>344</v>
      </c>
      <c r="D16" s="729" t="s">
        <v>10</v>
      </c>
      <c r="E16" s="7" t="s">
        <v>341</v>
      </c>
      <c r="F16" s="729" t="s">
        <v>10</v>
      </c>
      <c r="G16" s="7" t="s">
        <v>344</v>
      </c>
      <c r="N16" s="4"/>
      <c r="O16" s="4"/>
      <c r="P16" s="6"/>
      <c r="Q16" s="4"/>
      <c r="R16" s="6"/>
    </row>
    <row r="17" spans="1:18" ht="15.75" x14ac:dyDescent="0.25">
      <c r="A17" s="729" t="s">
        <v>10</v>
      </c>
      <c r="B17" s="729" t="s">
        <v>10</v>
      </c>
      <c r="C17" s="720" t="s">
        <v>343</v>
      </c>
      <c r="D17" s="729" t="s">
        <v>11</v>
      </c>
      <c r="E17" s="720" t="s">
        <v>340</v>
      </c>
      <c r="F17" s="729" t="s">
        <v>10</v>
      </c>
      <c r="G17" s="720" t="s">
        <v>343</v>
      </c>
      <c r="N17" s="4"/>
      <c r="O17" s="4"/>
      <c r="P17" s="6"/>
      <c r="Q17" s="4"/>
      <c r="R17" s="6"/>
    </row>
    <row r="18" spans="1:18" ht="15.75" x14ac:dyDescent="0.25">
      <c r="A18" s="729" t="s">
        <v>11</v>
      </c>
      <c r="B18" s="729" t="s">
        <v>12</v>
      </c>
      <c r="C18" s="7" t="s">
        <v>344</v>
      </c>
      <c r="D18" s="729" t="s">
        <v>12</v>
      </c>
      <c r="E18" s="720" t="s">
        <v>341</v>
      </c>
      <c r="F18" s="729" t="s">
        <v>12</v>
      </c>
      <c r="G18" s="7" t="s">
        <v>344</v>
      </c>
      <c r="N18" s="4"/>
      <c r="O18" s="4"/>
      <c r="P18" s="6"/>
      <c r="Q18" s="4"/>
      <c r="R18" s="6"/>
    </row>
    <row r="19" spans="1:18" ht="15.75" x14ac:dyDescent="0.25">
      <c r="A19" s="731" t="s">
        <v>12</v>
      </c>
      <c r="B19" s="732" t="s">
        <v>12</v>
      </c>
      <c r="C19" s="721" t="s">
        <v>210</v>
      </c>
      <c r="D19" s="732" t="s">
        <v>415</v>
      </c>
      <c r="E19" s="721" t="s">
        <v>341</v>
      </c>
      <c r="F19" s="732" t="s">
        <v>12</v>
      </c>
      <c r="G19" s="721" t="s">
        <v>210</v>
      </c>
      <c r="N19" s="4"/>
      <c r="O19" s="8"/>
      <c r="P19" s="6"/>
      <c r="Q19" s="8"/>
      <c r="R19" s="6"/>
    </row>
    <row r="20" spans="1:18" ht="15.75" x14ac:dyDescent="0.25">
      <c r="A20" s="5"/>
      <c r="B20" s="722"/>
      <c r="C20" s="733"/>
      <c r="D20" s="724"/>
      <c r="E20" s="733"/>
      <c r="F20" s="724"/>
      <c r="G20" s="5"/>
      <c r="N20" s="4"/>
      <c r="O20" s="8"/>
      <c r="P20" s="6"/>
      <c r="Q20" s="8"/>
      <c r="R20" s="6"/>
    </row>
    <row r="21" spans="1:18" x14ac:dyDescent="0.25">
      <c r="A21" s="5"/>
      <c r="B21" s="5"/>
      <c r="C21" s="5"/>
      <c r="D21" s="5"/>
      <c r="E21" s="5"/>
      <c r="F21" s="5"/>
      <c r="G21" s="5"/>
    </row>
    <row r="22" spans="1:18" ht="15.75" x14ac:dyDescent="0.25">
      <c r="A22" s="832" t="s">
        <v>418</v>
      </c>
      <c r="B22" s="833"/>
      <c r="C22" s="833"/>
      <c r="D22" s="833"/>
      <c r="E22" s="833"/>
      <c r="F22" s="833"/>
      <c r="G22" s="834"/>
    </row>
    <row r="23" spans="1:18" ht="49.5" customHeight="1" x14ac:dyDescent="0.25">
      <c r="A23" s="831" t="s">
        <v>336</v>
      </c>
      <c r="B23" s="830" t="s">
        <v>346</v>
      </c>
      <c r="C23" s="830"/>
      <c r="D23" s="830" t="s">
        <v>347</v>
      </c>
      <c r="E23" s="830"/>
      <c r="F23" s="830" t="s">
        <v>348</v>
      </c>
      <c r="G23" s="830"/>
    </row>
    <row r="24" spans="1:18" ht="15.75" customHeight="1" x14ac:dyDescent="0.25">
      <c r="A24" s="835"/>
      <c r="B24" s="831" t="s">
        <v>338</v>
      </c>
      <c r="C24" s="831"/>
      <c r="D24" s="830" t="s">
        <v>338</v>
      </c>
      <c r="E24" s="830"/>
      <c r="F24" s="831" t="s">
        <v>338</v>
      </c>
      <c r="G24" s="831"/>
    </row>
    <row r="25" spans="1:18" ht="15.75" x14ac:dyDescent="0.25">
      <c r="A25" s="728" t="s">
        <v>1</v>
      </c>
      <c r="B25" s="728" t="s">
        <v>2</v>
      </c>
      <c r="C25" s="719" t="s">
        <v>340</v>
      </c>
      <c r="D25" s="728" t="s">
        <v>1</v>
      </c>
      <c r="E25" s="719" t="s">
        <v>211</v>
      </c>
      <c r="F25" s="728" t="s">
        <v>1</v>
      </c>
      <c r="G25" s="719" t="s">
        <v>343</v>
      </c>
    </row>
    <row r="26" spans="1:18" ht="15.75" x14ac:dyDescent="0.25">
      <c r="A26" s="729" t="s">
        <v>2</v>
      </c>
      <c r="B26" s="729" t="s">
        <v>3</v>
      </c>
      <c r="C26" s="720" t="s">
        <v>342</v>
      </c>
      <c r="D26" s="729" t="s">
        <v>2</v>
      </c>
      <c r="E26" s="720" t="s">
        <v>212</v>
      </c>
      <c r="F26" s="729" t="s">
        <v>3</v>
      </c>
      <c r="G26" s="720" t="s">
        <v>414</v>
      </c>
    </row>
    <row r="27" spans="1:18" ht="15.75" x14ac:dyDescent="0.25">
      <c r="A27" s="729" t="s">
        <v>3</v>
      </c>
      <c r="B27" s="729" t="s">
        <v>4</v>
      </c>
      <c r="C27" s="720" t="s">
        <v>174</v>
      </c>
      <c r="D27" s="729" t="s">
        <v>3</v>
      </c>
      <c r="E27" s="720" t="s">
        <v>13</v>
      </c>
      <c r="F27" s="729" t="s">
        <v>3</v>
      </c>
      <c r="G27" s="720" t="s">
        <v>210</v>
      </c>
    </row>
    <row r="28" spans="1:18" ht="15.75" x14ac:dyDescent="0.25">
      <c r="A28" s="729" t="s">
        <v>4</v>
      </c>
      <c r="B28" s="729" t="s">
        <v>5</v>
      </c>
      <c r="C28" s="720" t="s">
        <v>339</v>
      </c>
      <c r="D28" s="729" t="s">
        <v>4</v>
      </c>
      <c r="E28" s="720" t="s">
        <v>212</v>
      </c>
      <c r="F28" s="730" t="s">
        <v>4</v>
      </c>
      <c r="G28" s="720" t="s">
        <v>345</v>
      </c>
    </row>
    <row r="29" spans="1:18" ht="15.75" x14ac:dyDescent="0.25">
      <c r="A29" s="729" t="s">
        <v>5</v>
      </c>
      <c r="B29" s="729" t="s">
        <v>6</v>
      </c>
      <c r="C29" s="720" t="s">
        <v>342</v>
      </c>
      <c r="D29" s="729" t="s">
        <v>5</v>
      </c>
      <c r="E29" s="720" t="s">
        <v>213</v>
      </c>
      <c r="F29" s="729" t="s">
        <v>5</v>
      </c>
      <c r="G29" s="720" t="s">
        <v>210</v>
      </c>
    </row>
    <row r="30" spans="1:18" ht="15.75" x14ac:dyDescent="0.25">
      <c r="A30" s="729" t="s">
        <v>6</v>
      </c>
      <c r="B30" s="729" t="s">
        <v>7</v>
      </c>
      <c r="C30" s="720" t="s">
        <v>341</v>
      </c>
      <c r="D30" s="729" t="s">
        <v>6</v>
      </c>
      <c r="E30" s="720" t="s">
        <v>212</v>
      </c>
      <c r="F30" s="729" t="s">
        <v>7</v>
      </c>
      <c r="G30" s="720" t="s">
        <v>344</v>
      </c>
    </row>
    <row r="31" spans="1:18" ht="15.75" x14ac:dyDescent="0.25">
      <c r="A31" s="729" t="s">
        <v>7</v>
      </c>
      <c r="B31" s="729" t="s">
        <v>8</v>
      </c>
      <c r="C31" s="720" t="s">
        <v>340</v>
      </c>
      <c r="D31" s="729" t="s">
        <v>7</v>
      </c>
      <c r="E31" s="720" t="s">
        <v>212</v>
      </c>
      <c r="F31" s="729" t="s">
        <v>7</v>
      </c>
      <c r="G31" s="720" t="s">
        <v>345</v>
      </c>
    </row>
    <row r="32" spans="1:18" ht="15.75" x14ac:dyDescent="0.25">
      <c r="A32" s="729" t="s">
        <v>8</v>
      </c>
      <c r="B32" s="729" t="s">
        <v>9</v>
      </c>
      <c r="C32" s="720" t="s">
        <v>341</v>
      </c>
      <c r="D32" s="729" t="s">
        <v>8</v>
      </c>
      <c r="E32" s="720" t="s">
        <v>212</v>
      </c>
      <c r="F32" s="729" t="s">
        <v>8</v>
      </c>
      <c r="G32" s="720" t="s">
        <v>210</v>
      </c>
    </row>
    <row r="33" spans="1:10" ht="15.75" x14ac:dyDescent="0.25">
      <c r="A33" s="729" t="s">
        <v>9</v>
      </c>
      <c r="B33" s="729" t="s">
        <v>10</v>
      </c>
      <c r="C33" s="7" t="s">
        <v>341</v>
      </c>
      <c r="D33" s="729" t="s">
        <v>9</v>
      </c>
      <c r="E33" s="720" t="s">
        <v>13</v>
      </c>
      <c r="F33" s="729" t="s">
        <v>10</v>
      </c>
      <c r="G33" s="7" t="s">
        <v>344</v>
      </c>
    </row>
    <row r="34" spans="1:10" ht="15.75" x14ac:dyDescent="0.25">
      <c r="A34" s="729" t="s">
        <v>10</v>
      </c>
      <c r="B34" s="729" t="s">
        <v>11</v>
      </c>
      <c r="C34" s="720" t="s">
        <v>340</v>
      </c>
      <c r="D34" s="729" t="s">
        <v>10</v>
      </c>
      <c r="E34" s="720" t="s">
        <v>211</v>
      </c>
      <c r="F34" s="729" t="s">
        <v>10</v>
      </c>
      <c r="G34" s="720" t="s">
        <v>343</v>
      </c>
    </row>
    <row r="35" spans="1:10" ht="15.75" x14ac:dyDescent="0.25">
      <c r="A35" s="729" t="s">
        <v>11</v>
      </c>
      <c r="B35" s="729" t="s">
        <v>12</v>
      </c>
      <c r="C35" s="720" t="s">
        <v>341</v>
      </c>
      <c r="D35" s="729" t="s">
        <v>11</v>
      </c>
      <c r="E35" s="720" t="s">
        <v>13</v>
      </c>
      <c r="F35" s="729" t="s">
        <v>12</v>
      </c>
      <c r="G35" s="7" t="s">
        <v>344</v>
      </c>
    </row>
    <row r="36" spans="1:10" ht="15.75" x14ac:dyDescent="0.25">
      <c r="A36" s="731" t="s">
        <v>12</v>
      </c>
      <c r="B36" s="732" t="s">
        <v>415</v>
      </c>
      <c r="C36" s="721" t="s">
        <v>341</v>
      </c>
      <c r="D36" s="731" t="s">
        <v>12</v>
      </c>
      <c r="E36" s="721" t="s">
        <v>212</v>
      </c>
      <c r="F36" s="732" t="s">
        <v>12</v>
      </c>
      <c r="G36" s="721" t="s">
        <v>210</v>
      </c>
    </row>
    <row r="37" spans="1:10" x14ac:dyDescent="0.25">
      <c r="A37" s="5"/>
      <c r="B37" s="5"/>
      <c r="C37" s="5"/>
      <c r="D37" s="5"/>
      <c r="E37" s="5"/>
      <c r="F37" s="5"/>
      <c r="G37" s="5"/>
    </row>
    <row r="38" spans="1:10" x14ac:dyDescent="0.25">
      <c r="A38" s="5"/>
      <c r="B38" s="5"/>
      <c r="C38" s="5"/>
      <c r="D38" s="5"/>
      <c r="E38" s="5"/>
      <c r="F38" s="5"/>
      <c r="G38" s="5"/>
    </row>
    <row r="39" spans="1:10" ht="15.75" x14ac:dyDescent="0.25">
      <c r="A39" s="832" t="s">
        <v>418</v>
      </c>
      <c r="B39" s="833"/>
      <c r="C39" s="833"/>
      <c r="D39" s="833"/>
      <c r="E39" s="833"/>
      <c r="F39" s="833"/>
      <c r="G39" s="834"/>
    </row>
    <row r="40" spans="1:10" ht="49.5" customHeight="1" x14ac:dyDescent="0.25">
      <c r="A40" s="831" t="s">
        <v>336</v>
      </c>
      <c r="B40" s="836" t="s">
        <v>349</v>
      </c>
      <c r="C40" s="837"/>
      <c r="D40" s="829" t="s">
        <v>420</v>
      </c>
      <c r="E40" s="829"/>
      <c r="F40" s="829" t="s">
        <v>419</v>
      </c>
      <c r="G40" s="830"/>
      <c r="I40" s="821"/>
      <c r="J40" s="822"/>
    </row>
    <row r="41" spans="1:10" ht="15" customHeight="1" x14ac:dyDescent="0.25">
      <c r="A41" s="835"/>
      <c r="B41" s="827" t="s">
        <v>338</v>
      </c>
      <c r="C41" s="828"/>
      <c r="D41" s="831" t="s">
        <v>338</v>
      </c>
      <c r="E41" s="831"/>
      <c r="F41" s="831" t="s">
        <v>338</v>
      </c>
      <c r="G41" s="831"/>
      <c r="I41" s="823"/>
      <c r="J41" s="823"/>
    </row>
    <row r="42" spans="1:10" ht="15.75" x14ac:dyDescent="0.25">
      <c r="A42" s="728" t="s">
        <v>1</v>
      </c>
      <c r="B42" s="728" t="s">
        <v>1</v>
      </c>
      <c r="C42" s="719" t="s">
        <v>343</v>
      </c>
      <c r="D42" s="728" t="s">
        <v>2</v>
      </c>
      <c r="E42" s="719" t="s">
        <v>212</v>
      </c>
      <c r="F42" s="728" t="s">
        <v>2</v>
      </c>
      <c r="G42" s="719" t="s">
        <v>340</v>
      </c>
      <c r="I42" s="722"/>
      <c r="J42" s="723"/>
    </row>
    <row r="43" spans="1:10" ht="15.75" x14ac:dyDescent="0.25">
      <c r="A43" s="729" t="s">
        <v>2</v>
      </c>
      <c r="B43" s="729" t="s">
        <v>3</v>
      </c>
      <c r="C43" s="720" t="s">
        <v>414</v>
      </c>
      <c r="D43" s="729" t="s">
        <v>3</v>
      </c>
      <c r="E43" s="720" t="s">
        <v>13</v>
      </c>
      <c r="F43" s="729" t="s">
        <v>3</v>
      </c>
      <c r="G43" s="720" t="s">
        <v>342</v>
      </c>
      <c r="I43" s="722"/>
      <c r="J43" s="723"/>
    </row>
    <row r="44" spans="1:10" ht="15.75" x14ac:dyDescent="0.25">
      <c r="A44" s="729" t="s">
        <v>3</v>
      </c>
      <c r="B44" s="729" t="s">
        <v>3</v>
      </c>
      <c r="C44" s="720" t="s">
        <v>210</v>
      </c>
      <c r="D44" s="729" t="s">
        <v>4</v>
      </c>
      <c r="E44" s="720" t="s">
        <v>211</v>
      </c>
      <c r="F44" s="729" t="s">
        <v>4</v>
      </c>
      <c r="G44" s="720" t="s">
        <v>174</v>
      </c>
      <c r="I44" s="722"/>
      <c r="J44" s="723"/>
    </row>
    <row r="45" spans="1:10" ht="15.75" x14ac:dyDescent="0.25">
      <c r="A45" s="729" t="s">
        <v>4</v>
      </c>
      <c r="B45" s="730" t="s">
        <v>4</v>
      </c>
      <c r="C45" s="720" t="s">
        <v>345</v>
      </c>
      <c r="D45" s="729" t="s">
        <v>5</v>
      </c>
      <c r="E45" s="720" t="s">
        <v>213</v>
      </c>
      <c r="F45" s="729" t="s">
        <v>5</v>
      </c>
      <c r="G45" s="720" t="s">
        <v>339</v>
      </c>
      <c r="I45" s="722"/>
      <c r="J45" s="723"/>
    </row>
    <row r="46" spans="1:10" ht="15.75" x14ac:dyDescent="0.25">
      <c r="A46" s="729" t="s">
        <v>5</v>
      </c>
      <c r="B46" s="729" t="s">
        <v>5</v>
      </c>
      <c r="C46" s="720" t="s">
        <v>210</v>
      </c>
      <c r="D46" s="729" t="s">
        <v>6</v>
      </c>
      <c r="E46" s="720" t="s">
        <v>212</v>
      </c>
      <c r="F46" s="729" t="s">
        <v>6</v>
      </c>
      <c r="G46" s="720" t="s">
        <v>342</v>
      </c>
      <c r="I46" s="722"/>
      <c r="J46" s="723"/>
    </row>
    <row r="47" spans="1:10" ht="15.75" x14ac:dyDescent="0.25">
      <c r="A47" s="729" t="s">
        <v>6</v>
      </c>
      <c r="B47" s="729" t="s">
        <v>7</v>
      </c>
      <c r="C47" s="720" t="s">
        <v>344</v>
      </c>
      <c r="D47" s="729" t="s">
        <v>7</v>
      </c>
      <c r="E47" s="720" t="s">
        <v>211</v>
      </c>
      <c r="F47" s="729" t="s">
        <v>7</v>
      </c>
      <c r="G47" s="720" t="s">
        <v>341</v>
      </c>
      <c r="I47" s="722"/>
      <c r="J47" s="723"/>
    </row>
    <row r="48" spans="1:10" ht="15.75" x14ac:dyDescent="0.25">
      <c r="A48" s="729" t="s">
        <v>7</v>
      </c>
      <c r="B48" s="729" t="s">
        <v>7</v>
      </c>
      <c r="C48" s="720" t="s">
        <v>345</v>
      </c>
      <c r="D48" s="729" t="s">
        <v>8</v>
      </c>
      <c r="E48" s="720" t="s">
        <v>212</v>
      </c>
      <c r="F48" s="729" t="s">
        <v>8</v>
      </c>
      <c r="G48" s="720" t="s">
        <v>340</v>
      </c>
      <c r="I48" s="722"/>
      <c r="J48" s="723"/>
    </row>
    <row r="49" spans="1:10" ht="15.75" x14ac:dyDescent="0.25">
      <c r="A49" s="729" t="s">
        <v>8</v>
      </c>
      <c r="B49" s="729" t="s">
        <v>8</v>
      </c>
      <c r="C49" s="720" t="s">
        <v>210</v>
      </c>
      <c r="D49" s="729" t="s">
        <v>9</v>
      </c>
      <c r="E49" s="720" t="s">
        <v>13</v>
      </c>
      <c r="F49" s="729" t="s">
        <v>9</v>
      </c>
      <c r="G49" s="720" t="s">
        <v>341</v>
      </c>
      <c r="I49" s="722"/>
      <c r="J49" s="723"/>
    </row>
    <row r="50" spans="1:10" ht="15.75" x14ac:dyDescent="0.25">
      <c r="A50" s="729" t="s">
        <v>9</v>
      </c>
      <c r="B50" s="729" t="s">
        <v>10</v>
      </c>
      <c r="C50" s="7" t="s">
        <v>344</v>
      </c>
      <c r="D50" s="729" t="s">
        <v>10</v>
      </c>
      <c r="E50" s="720" t="s">
        <v>213</v>
      </c>
      <c r="F50" s="729" t="s">
        <v>10</v>
      </c>
      <c r="G50" s="7" t="s">
        <v>341</v>
      </c>
      <c r="I50" s="722"/>
      <c r="J50" s="724"/>
    </row>
    <row r="51" spans="1:10" ht="15.75" x14ac:dyDescent="0.25">
      <c r="A51" s="729" t="s">
        <v>10</v>
      </c>
      <c r="B51" s="729" t="s">
        <v>10</v>
      </c>
      <c r="C51" s="720" t="s">
        <v>343</v>
      </c>
      <c r="D51" s="729" t="s">
        <v>11</v>
      </c>
      <c r="E51" s="720" t="s">
        <v>13</v>
      </c>
      <c r="F51" s="729" t="s">
        <v>11</v>
      </c>
      <c r="G51" s="720" t="s">
        <v>340</v>
      </c>
      <c r="I51" s="722"/>
      <c r="J51" s="723"/>
    </row>
    <row r="52" spans="1:10" ht="15.75" x14ac:dyDescent="0.25">
      <c r="A52" s="729" t="s">
        <v>11</v>
      </c>
      <c r="B52" s="729" t="s">
        <v>12</v>
      </c>
      <c r="C52" s="7" t="s">
        <v>344</v>
      </c>
      <c r="D52" s="729" t="s">
        <v>12</v>
      </c>
      <c r="E52" s="720" t="s">
        <v>212</v>
      </c>
      <c r="F52" s="729" t="s">
        <v>12</v>
      </c>
      <c r="G52" s="720" t="s">
        <v>341</v>
      </c>
      <c r="I52" s="722"/>
      <c r="J52" s="723"/>
    </row>
    <row r="53" spans="1:10" ht="15.75" x14ac:dyDescent="0.25">
      <c r="A53" s="731" t="s">
        <v>12</v>
      </c>
      <c r="B53" s="732" t="s">
        <v>12</v>
      </c>
      <c r="C53" s="721" t="s">
        <v>210</v>
      </c>
      <c r="D53" s="732" t="s">
        <v>415</v>
      </c>
      <c r="E53" s="721" t="s">
        <v>213</v>
      </c>
      <c r="F53" s="732" t="s">
        <v>415</v>
      </c>
      <c r="G53" s="721" t="s">
        <v>341</v>
      </c>
      <c r="I53" s="725"/>
      <c r="J53" s="723"/>
    </row>
  </sheetData>
  <mergeCells count="27">
    <mergeCell ref="A1:G1"/>
    <mergeCell ref="A2:G2"/>
    <mergeCell ref="F41:G41"/>
    <mergeCell ref="A22:G22"/>
    <mergeCell ref="A23:A24"/>
    <mergeCell ref="B23:C23"/>
    <mergeCell ref="D23:E23"/>
    <mergeCell ref="F23:G23"/>
    <mergeCell ref="B24:C24"/>
    <mergeCell ref="D24:E24"/>
    <mergeCell ref="F24:G24"/>
    <mergeCell ref="I40:J40"/>
    <mergeCell ref="I41:J41"/>
    <mergeCell ref="A5:G5"/>
    <mergeCell ref="B6:C6"/>
    <mergeCell ref="D6:E6"/>
    <mergeCell ref="F6:G6"/>
    <mergeCell ref="F7:G7"/>
    <mergeCell ref="B7:C7"/>
    <mergeCell ref="D7:E7"/>
    <mergeCell ref="A39:G39"/>
    <mergeCell ref="A40:A41"/>
    <mergeCell ref="B40:C40"/>
    <mergeCell ref="D40:E40"/>
    <mergeCell ref="F40:G40"/>
    <mergeCell ref="B41:C41"/>
    <mergeCell ref="D41:E41"/>
  </mergeCells>
  <printOptions horizontalCentered="1"/>
  <pageMargins left="0.51181102362204722" right="0.47244094488188981" top="0.57999999999999996" bottom="0.43" header="0.17" footer="0.31"/>
  <pageSetup scale="7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pageSetUpPr fitToPage="1"/>
  </sheetPr>
  <dimension ref="B2:T32"/>
  <sheetViews>
    <sheetView workbookViewId="0">
      <selection activeCell="B2" sqref="B2:J2"/>
    </sheetView>
  </sheetViews>
  <sheetFormatPr baseColWidth="10" defaultRowHeight="15" x14ac:dyDescent="0.25"/>
  <cols>
    <col min="1" max="1" width="3.5703125" customWidth="1"/>
    <col min="2" max="2" width="21.28515625" customWidth="1"/>
    <col min="3" max="3" width="15.28515625" customWidth="1"/>
    <col min="4" max="4" width="16.5703125" bestFit="1" customWidth="1"/>
    <col min="5" max="5" width="14.7109375" customWidth="1"/>
    <col min="6" max="6" width="15.28515625" bestFit="1" customWidth="1"/>
    <col min="7" max="7" width="14" customWidth="1"/>
    <col min="8" max="10" width="15.5703125" customWidth="1"/>
    <col min="11" max="11" width="14.85546875" customWidth="1"/>
    <col min="12" max="13" width="15.42578125" style="10" customWidth="1"/>
    <col min="14" max="14" width="15.85546875" customWidth="1"/>
    <col min="15" max="15" width="14.7109375" customWidth="1"/>
    <col min="16" max="16" width="15.140625" customWidth="1"/>
  </cols>
  <sheetData>
    <row r="2" spans="2:20" x14ac:dyDescent="0.25">
      <c r="B2" s="921" t="s">
        <v>424</v>
      </c>
      <c r="C2" s="921"/>
      <c r="D2" s="921"/>
      <c r="E2" s="921"/>
      <c r="F2" s="921"/>
      <c r="G2" s="921"/>
      <c r="H2" s="921"/>
      <c r="I2" s="921"/>
      <c r="J2" s="921"/>
      <c r="K2" s="9"/>
      <c r="N2" s="189"/>
    </row>
    <row r="3" spans="2:20" x14ac:dyDescent="0.25">
      <c r="B3" s="1004" t="s">
        <v>278</v>
      </c>
      <c r="C3" s="1004"/>
      <c r="D3" s="1004"/>
      <c r="E3" s="1004"/>
      <c r="F3" s="1004"/>
      <c r="G3" s="1004"/>
      <c r="H3" s="1004"/>
      <c r="I3" s="1004"/>
      <c r="J3" s="1004"/>
      <c r="K3" s="9"/>
      <c r="L3" s="77"/>
      <c r="M3" s="77"/>
    </row>
    <row r="4" spans="2:20" ht="15.75" thickBot="1" x14ac:dyDescent="0.3">
      <c r="K4" s="190"/>
      <c r="L4" s="190"/>
      <c r="M4" s="190"/>
      <c r="N4" s="190"/>
    </row>
    <row r="5" spans="2:20" ht="15" customHeight="1" x14ac:dyDescent="0.25">
      <c r="B5" s="851" t="s">
        <v>84</v>
      </c>
      <c r="C5" s="357" t="s">
        <v>140</v>
      </c>
      <c r="D5" s="1000" t="s">
        <v>240</v>
      </c>
      <c r="E5" s="460" t="s">
        <v>141</v>
      </c>
      <c r="F5" s="1000" t="s">
        <v>241</v>
      </c>
      <c r="G5" s="460" t="s">
        <v>30</v>
      </c>
      <c r="H5" s="460" t="s">
        <v>30</v>
      </c>
      <c r="I5" s="1000" t="s">
        <v>242</v>
      </c>
      <c r="J5" s="1002" t="s">
        <v>243</v>
      </c>
      <c r="K5" s="998"/>
      <c r="L5" s="190"/>
      <c r="M5" s="190"/>
      <c r="N5" s="190"/>
      <c r="O5" s="190"/>
      <c r="P5" s="149"/>
      <c r="Q5" s="149"/>
      <c r="R5" s="157"/>
      <c r="S5" s="157"/>
      <c r="T5" s="157"/>
    </row>
    <row r="6" spans="2:20" x14ac:dyDescent="0.25">
      <c r="B6" s="852"/>
      <c r="C6" s="358" t="s">
        <v>34</v>
      </c>
      <c r="D6" s="1001"/>
      <c r="E6" s="356" t="s">
        <v>34</v>
      </c>
      <c r="F6" s="1001"/>
      <c r="G6" s="356" t="s">
        <v>34</v>
      </c>
      <c r="H6" s="356" t="s">
        <v>143</v>
      </c>
      <c r="I6" s="1001"/>
      <c r="J6" s="1003"/>
      <c r="K6" s="998"/>
      <c r="L6" s="190"/>
      <c r="M6" s="190"/>
      <c r="N6" s="190"/>
      <c r="O6" s="190"/>
      <c r="P6" s="149"/>
      <c r="Q6" s="149"/>
      <c r="R6" s="157"/>
      <c r="S6" s="157"/>
      <c r="T6" s="157"/>
    </row>
    <row r="7" spans="2:20" x14ac:dyDescent="0.25">
      <c r="B7" s="852"/>
      <c r="C7" s="479">
        <v>0.6</v>
      </c>
      <c r="D7" s="461" t="s">
        <v>45</v>
      </c>
      <c r="E7" s="461">
        <v>0.3</v>
      </c>
      <c r="F7" s="461" t="s">
        <v>45</v>
      </c>
      <c r="G7" s="461">
        <v>0.1</v>
      </c>
      <c r="H7" s="461"/>
      <c r="I7" s="461" t="s">
        <v>45</v>
      </c>
      <c r="J7" s="1003"/>
      <c r="K7" s="190"/>
      <c r="L7" s="190"/>
      <c r="M7" s="190"/>
      <c r="N7" s="190"/>
      <c r="O7" s="190"/>
      <c r="P7" s="149"/>
      <c r="Q7" s="149"/>
      <c r="R7" s="157"/>
      <c r="S7" s="157"/>
      <c r="T7" s="157"/>
    </row>
    <row r="8" spans="2:20" ht="15.75" thickBot="1" x14ac:dyDescent="0.3">
      <c r="B8" s="853"/>
      <c r="C8" s="557" t="s">
        <v>71</v>
      </c>
      <c r="D8" s="558" t="s">
        <v>98</v>
      </c>
      <c r="E8" s="558" t="s">
        <v>72</v>
      </c>
      <c r="F8" s="558" t="s">
        <v>99</v>
      </c>
      <c r="G8" s="558" t="s">
        <v>74</v>
      </c>
      <c r="H8" s="558" t="s">
        <v>303</v>
      </c>
      <c r="I8" s="558" t="s">
        <v>75</v>
      </c>
      <c r="J8" s="559" t="s">
        <v>304</v>
      </c>
      <c r="K8" s="162"/>
      <c r="L8" s="162"/>
      <c r="M8" s="162"/>
      <c r="N8" s="162"/>
      <c r="O8" s="190"/>
      <c r="P8" s="162"/>
      <c r="Q8" s="162"/>
      <c r="R8" s="157"/>
      <c r="S8" s="157"/>
      <c r="T8" s="157"/>
    </row>
    <row r="9" spans="2:20" ht="22.5" customHeight="1" x14ac:dyDescent="0.25">
      <c r="B9" s="152" t="s">
        <v>46</v>
      </c>
      <c r="C9" s="480">
        <f>FGP!E8</f>
        <v>3.0136241193535018</v>
      </c>
      <c r="D9" s="427">
        <f t="shared" ref="D9:D28" si="0">C9*$D$29/100</f>
        <v>44773.575523531392</v>
      </c>
      <c r="E9" s="462">
        <f>FGP!K8</f>
        <v>4.7940132358696488</v>
      </c>
      <c r="F9" s="427">
        <f t="shared" ref="F9:F28" si="1">E9*$F$29/100</f>
        <v>35612.456161763395</v>
      </c>
      <c r="G9" s="462">
        <f>FGP!Q8</f>
        <v>4.3373877853929619</v>
      </c>
      <c r="H9" s="462">
        <f>G9*10%</f>
        <v>0.43373877853929621</v>
      </c>
      <c r="I9" s="427">
        <f>G9*$I$29/100</f>
        <v>10740.133910362783</v>
      </c>
      <c r="J9" s="463">
        <f t="shared" ref="J9:J28" si="2">D9+F9+I9</f>
        <v>91126.165595657571</v>
      </c>
      <c r="K9" s="146"/>
      <c r="L9" s="164"/>
      <c r="M9" s="122"/>
      <c r="N9" s="122"/>
      <c r="O9" s="164"/>
      <c r="P9" s="165"/>
      <c r="Q9" s="166"/>
      <c r="R9" s="167"/>
      <c r="S9" s="157"/>
      <c r="T9" s="157"/>
    </row>
    <row r="10" spans="2:20" ht="22.5" customHeight="1" x14ac:dyDescent="0.25">
      <c r="B10" s="152" t="s">
        <v>47</v>
      </c>
      <c r="C10" s="480">
        <f>FGP!E9</f>
        <v>1.2459367229589724</v>
      </c>
      <c r="D10" s="427">
        <f t="shared" si="0"/>
        <v>18510.948862100311</v>
      </c>
      <c r="E10" s="462">
        <f>FGP!K9</f>
        <v>3.2652473705641989</v>
      </c>
      <c r="F10" s="427">
        <f t="shared" si="1"/>
        <v>24255.977845759233</v>
      </c>
      <c r="G10" s="462">
        <f>FGP!Q9</f>
        <v>8.1526875739689952</v>
      </c>
      <c r="H10" s="462">
        <f t="shared" ref="H10:H29" si="3">G10*10%</f>
        <v>0.81526875739689952</v>
      </c>
      <c r="I10" s="427">
        <f t="shared" ref="I10:I28" si="4">G10*$I$29/100</f>
        <v>20187.486248902409</v>
      </c>
      <c r="J10" s="463">
        <f t="shared" si="2"/>
        <v>62954.412956761953</v>
      </c>
      <c r="K10" s="146"/>
      <c r="L10" s="164"/>
      <c r="M10" s="207"/>
      <c r="N10" s="122"/>
      <c r="O10" s="164"/>
      <c r="P10" s="165"/>
      <c r="Q10" s="166"/>
      <c r="R10" s="167"/>
      <c r="S10" s="157"/>
      <c r="T10" s="157"/>
    </row>
    <row r="11" spans="2:20" ht="22.5" customHeight="1" x14ac:dyDescent="0.25">
      <c r="B11" s="152" t="s">
        <v>48</v>
      </c>
      <c r="C11" s="480">
        <f>FGP!E10</f>
        <v>0.93374430169912959</v>
      </c>
      <c r="D11" s="427">
        <f t="shared" si="0"/>
        <v>13872.689279100185</v>
      </c>
      <c r="E11" s="462">
        <f>FGP!K10</f>
        <v>4.3702948493606257</v>
      </c>
      <c r="F11" s="427">
        <f t="shared" si="1"/>
        <v>32464.852740149483</v>
      </c>
      <c r="G11" s="462">
        <f>FGP!Q10</f>
        <v>7.5244688594653066</v>
      </c>
      <c r="H11" s="462">
        <f t="shared" si="3"/>
        <v>0.75244688594653075</v>
      </c>
      <c r="I11" s="427">
        <f t="shared" si="4"/>
        <v>18631.906380879544</v>
      </c>
      <c r="J11" s="463">
        <f t="shared" si="2"/>
        <v>64969.448400129215</v>
      </c>
      <c r="K11" s="146"/>
      <c r="L11" s="164"/>
      <c r="M11" s="122"/>
      <c r="N11" s="122"/>
      <c r="O11" s="164"/>
      <c r="P11" s="165"/>
      <c r="Q11" s="166"/>
      <c r="R11" s="167"/>
      <c r="S11" s="157"/>
      <c r="T11" s="157"/>
    </row>
    <row r="12" spans="2:20" ht="22.5" customHeight="1" x14ac:dyDescent="0.25">
      <c r="B12" s="152" t="s">
        <v>49</v>
      </c>
      <c r="C12" s="480">
        <f>FGP!E11</f>
        <v>15.187266887691669</v>
      </c>
      <c r="D12" s="427">
        <f t="shared" si="0"/>
        <v>225638.04046603036</v>
      </c>
      <c r="E12" s="462">
        <f>FGP!K11</f>
        <v>5.2246873186783906</v>
      </c>
      <c r="F12" s="427">
        <f t="shared" si="1"/>
        <v>38811.730160274114</v>
      </c>
      <c r="G12" s="462">
        <f>FGP!Q11</f>
        <v>1.3184560195391906</v>
      </c>
      <c r="H12" s="462">
        <f t="shared" si="3"/>
        <v>0.13184560195391906</v>
      </c>
      <c r="I12" s="427">
        <f t="shared" si="4"/>
        <v>3264.7286582174675</v>
      </c>
      <c r="J12" s="463">
        <f t="shared" si="2"/>
        <v>267714.49928452197</v>
      </c>
      <c r="K12" s="146"/>
      <c r="L12" s="164"/>
      <c r="M12" s="122"/>
      <c r="N12" s="122"/>
      <c r="O12" s="164"/>
      <c r="P12" s="165"/>
      <c r="Q12" s="166"/>
      <c r="R12" s="167"/>
      <c r="S12" s="157"/>
      <c r="T12" s="157"/>
    </row>
    <row r="13" spans="2:20" ht="22.5" customHeight="1" x14ac:dyDescent="0.25">
      <c r="B13" s="152" t="s">
        <v>50</v>
      </c>
      <c r="C13" s="480">
        <f>FGP!E12</f>
        <v>6.2678071902196431</v>
      </c>
      <c r="D13" s="427">
        <f t="shared" si="0"/>
        <v>93121.14831972972</v>
      </c>
      <c r="E13" s="462">
        <f>FGP!K12</f>
        <v>10.883466583865419</v>
      </c>
      <c r="F13" s="427">
        <f t="shared" si="1"/>
        <v>80848.124011408712</v>
      </c>
      <c r="G13" s="462">
        <f>FGP!Q12</f>
        <v>2.0041780210723017</v>
      </c>
      <c r="H13" s="462">
        <f t="shared" si="3"/>
        <v>0.20041780210723018</v>
      </c>
      <c r="I13" s="427">
        <f t="shared" si="4"/>
        <v>4962.69676393997</v>
      </c>
      <c r="J13" s="463">
        <f t="shared" si="2"/>
        <v>178931.96909507841</v>
      </c>
      <c r="K13" s="146"/>
      <c r="L13" s="164"/>
      <c r="M13" s="122"/>
      <c r="N13" s="122"/>
      <c r="O13" s="164"/>
      <c r="P13" s="165"/>
      <c r="Q13" s="166"/>
      <c r="R13" s="167"/>
      <c r="S13" s="157"/>
      <c r="T13" s="157"/>
    </row>
    <row r="14" spans="2:20" ht="22.5" customHeight="1" x14ac:dyDescent="0.25">
      <c r="B14" s="152" t="s">
        <v>51</v>
      </c>
      <c r="C14" s="480">
        <f>FGP!E13</f>
        <v>3.8487813406547868</v>
      </c>
      <c r="D14" s="427">
        <f t="shared" si="0"/>
        <v>57181.551250105229</v>
      </c>
      <c r="E14" s="462">
        <f>FGP!K13</f>
        <v>3.857696854715869</v>
      </c>
      <c r="F14" s="427">
        <f t="shared" si="1"/>
        <v>28657.004760859803</v>
      </c>
      <c r="G14" s="462">
        <f>FGP!Q13</f>
        <v>4.0618739194945297</v>
      </c>
      <c r="H14" s="462">
        <f t="shared" si="3"/>
        <v>0.40618739194945297</v>
      </c>
      <c r="I14" s="427">
        <f t="shared" si="4"/>
        <v>10057.913191275566</v>
      </c>
      <c r="J14" s="463">
        <f t="shared" si="2"/>
        <v>95896.469202240594</v>
      </c>
      <c r="K14" s="146"/>
      <c r="L14" s="164"/>
      <c r="M14" s="122"/>
      <c r="N14" s="122"/>
      <c r="O14" s="164"/>
      <c r="P14" s="165"/>
      <c r="Q14" s="166"/>
      <c r="R14" s="167"/>
      <c r="S14" s="157"/>
      <c r="T14" s="157"/>
    </row>
    <row r="15" spans="2:20" ht="22.5" customHeight="1" x14ac:dyDescent="0.25">
      <c r="B15" s="152" t="s">
        <v>52</v>
      </c>
      <c r="C15" s="480">
        <f>FGP!E14</f>
        <v>0.98991789266473262</v>
      </c>
      <c r="D15" s="427">
        <f t="shared" si="0"/>
        <v>14707.263339406663</v>
      </c>
      <c r="E15" s="462">
        <f>FGP!K14</f>
        <v>5.1170122349234575</v>
      </c>
      <c r="F15" s="427">
        <f t="shared" si="1"/>
        <v>38011.862906832721</v>
      </c>
      <c r="G15" s="462">
        <f>FGP!Q14</f>
        <v>6.6136413247721588</v>
      </c>
      <c r="H15" s="462">
        <f t="shared" si="3"/>
        <v>0.66136413247721593</v>
      </c>
      <c r="I15" s="427">
        <f t="shared" si="4"/>
        <v>16376.537440893529</v>
      </c>
      <c r="J15" s="463">
        <f t="shared" si="2"/>
        <v>69095.66368713291</v>
      </c>
      <c r="K15" s="146"/>
      <c r="L15" s="164"/>
      <c r="M15" s="122"/>
      <c r="N15" s="122"/>
      <c r="O15" s="164"/>
      <c r="P15" s="165"/>
      <c r="Q15" s="166"/>
      <c r="R15" s="167"/>
      <c r="S15" s="157"/>
      <c r="T15" s="157"/>
    </row>
    <row r="16" spans="2:20" ht="22.5" customHeight="1" x14ac:dyDescent="0.25">
      <c r="B16" s="152" t="s">
        <v>53</v>
      </c>
      <c r="C16" s="480">
        <f>FGP!E15</f>
        <v>2.3715130283878989</v>
      </c>
      <c r="D16" s="427">
        <f t="shared" si="0"/>
        <v>35233.69653158429</v>
      </c>
      <c r="E16" s="462">
        <f>FGP!K15</f>
        <v>4.8207407866184884</v>
      </c>
      <c r="F16" s="427">
        <f t="shared" si="1"/>
        <v>35811.00249080408</v>
      </c>
      <c r="G16" s="462">
        <f>FGP!Q15</f>
        <v>4.9076904645360537</v>
      </c>
      <c r="H16" s="462">
        <f t="shared" si="3"/>
        <v>0.49076904645360542</v>
      </c>
      <c r="I16" s="427">
        <f t="shared" si="4"/>
        <v>12152.303503329103</v>
      </c>
      <c r="J16" s="463">
        <f t="shared" si="2"/>
        <v>83197.002525717486</v>
      </c>
      <c r="K16" s="146"/>
      <c r="L16" s="164"/>
      <c r="M16" s="122"/>
      <c r="N16" s="122"/>
      <c r="O16" s="164"/>
      <c r="P16" s="165"/>
      <c r="Q16" s="166"/>
      <c r="R16" s="167"/>
      <c r="S16" s="157"/>
      <c r="T16" s="157"/>
    </row>
    <row r="17" spans="2:20" ht="22.5" customHeight="1" x14ac:dyDescent="0.25">
      <c r="B17" s="152" t="s">
        <v>54</v>
      </c>
      <c r="C17" s="480">
        <f>FGP!E16</f>
        <v>1.563876010153336</v>
      </c>
      <c r="D17" s="427">
        <f t="shared" si="0"/>
        <v>23234.589941183658</v>
      </c>
      <c r="E17" s="462">
        <f>FGP!K16</f>
        <v>5.9433962968826552</v>
      </c>
      <c r="F17" s="427">
        <f t="shared" si="1"/>
        <v>44150.679120168286</v>
      </c>
      <c r="G17" s="462">
        <f>FGP!Q16</f>
        <v>5.1742079063387214</v>
      </c>
      <c r="H17" s="462">
        <f t="shared" si="3"/>
        <v>0.51742079063387214</v>
      </c>
      <c r="I17" s="427">
        <f t="shared" si="4"/>
        <v>12812.247496358226</v>
      </c>
      <c r="J17" s="463">
        <f t="shared" si="2"/>
        <v>80197.516557710172</v>
      </c>
      <c r="K17" s="146"/>
      <c r="L17" s="164"/>
      <c r="M17" s="122"/>
      <c r="N17" s="122"/>
      <c r="O17" s="164"/>
      <c r="P17" s="165"/>
      <c r="Q17" s="166"/>
      <c r="R17" s="167"/>
      <c r="S17" s="157"/>
      <c r="T17" s="157"/>
    </row>
    <row r="18" spans="2:20" ht="22.5" customHeight="1" x14ac:dyDescent="0.25">
      <c r="B18" s="152" t="s">
        <v>55</v>
      </c>
      <c r="C18" s="480">
        <f>FGP!E17</f>
        <v>1.1104401937422297</v>
      </c>
      <c r="D18" s="427">
        <f t="shared" si="0"/>
        <v>16497.869644588722</v>
      </c>
      <c r="E18" s="462">
        <f>FGP!K17</f>
        <v>1.1232580567578638</v>
      </c>
      <c r="F18" s="427">
        <f t="shared" si="1"/>
        <v>8344.1526621860667</v>
      </c>
      <c r="G18" s="462">
        <f>FGP!Q17</f>
        <v>14.035306290378907</v>
      </c>
      <c r="H18" s="462">
        <f t="shared" si="3"/>
        <v>1.4035306290378908</v>
      </c>
      <c r="I18" s="427">
        <f t="shared" si="4"/>
        <v>34753.883325645424</v>
      </c>
      <c r="J18" s="463">
        <f t="shared" si="2"/>
        <v>59595.90563242021</v>
      </c>
      <c r="K18" s="146"/>
      <c r="L18" s="164"/>
      <c r="M18" s="122"/>
      <c r="N18" s="122"/>
      <c r="O18" s="164"/>
      <c r="P18" s="165"/>
      <c r="Q18" s="166"/>
      <c r="R18" s="167"/>
      <c r="S18" s="157"/>
      <c r="T18" s="157"/>
    </row>
    <row r="19" spans="2:20" ht="22.5" customHeight="1" x14ac:dyDescent="0.25">
      <c r="B19" s="152" t="s">
        <v>56</v>
      </c>
      <c r="C19" s="480">
        <f>FGP!E18</f>
        <v>2.7169725186489848</v>
      </c>
      <c r="D19" s="427">
        <f t="shared" si="0"/>
        <v>40366.206746840842</v>
      </c>
      <c r="E19" s="462">
        <f>FGP!K18</f>
        <v>5.1114352253506885</v>
      </c>
      <c r="F19" s="427">
        <f t="shared" si="1"/>
        <v>37970.433941339274</v>
      </c>
      <c r="G19" s="462">
        <f>FGP!Q18</f>
        <v>4.4508596345849929</v>
      </c>
      <c r="H19" s="462">
        <f t="shared" si="3"/>
        <v>0.44508596345849932</v>
      </c>
      <c r="I19" s="427">
        <f t="shared" si="4"/>
        <v>11021.110137455766</v>
      </c>
      <c r="J19" s="463">
        <f t="shared" si="2"/>
        <v>89357.750825635871</v>
      </c>
      <c r="K19" s="146"/>
      <c r="L19" s="164"/>
      <c r="M19" s="122"/>
      <c r="N19" s="122"/>
      <c r="O19" s="164"/>
      <c r="P19" s="165"/>
      <c r="Q19" s="166"/>
      <c r="R19" s="167"/>
      <c r="S19" s="157"/>
      <c r="T19" s="157"/>
    </row>
    <row r="20" spans="2:20" ht="22.5" customHeight="1" x14ac:dyDescent="0.25">
      <c r="B20" s="152" t="s">
        <v>57</v>
      </c>
      <c r="C20" s="480">
        <f>FGP!E19</f>
        <v>1.9503729796933278</v>
      </c>
      <c r="D20" s="427">
        <f t="shared" si="0"/>
        <v>28976.79619185143</v>
      </c>
      <c r="E20" s="462">
        <f>FGP!K19</f>
        <v>6.0204534046917546</v>
      </c>
      <c r="F20" s="427">
        <f t="shared" si="1"/>
        <v>44723.099916437946</v>
      </c>
      <c r="G20" s="462">
        <f>FGP!Q19</f>
        <v>4.7308803724187767</v>
      </c>
      <c r="H20" s="462">
        <f t="shared" si="3"/>
        <v>0.4730880372418777</v>
      </c>
      <c r="I20" s="427">
        <f t="shared" si="4"/>
        <v>11714.490662974296</v>
      </c>
      <c r="J20" s="463">
        <f t="shared" si="2"/>
        <v>85414.386771263671</v>
      </c>
      <c r="K20" s="146"/>
      <c r="L20" s="164"/>
      <c r="M20" s="122"/>
      <c r="N20" s="122"/>
      <c r="O20" s="164"/>
      <c r="P20" s="165"/>
      <c r="Q20" s="166"/>
      <c r="R20" s="167"/>
      <c r="S20" s="157"/>
      <c r="T20" s="157"/>
    </row>
    <row r="21" spans="2:20" ht="22.5" customHeight="1" x14ac:dyDescent="0.25">
      <c r="B21" s="152" t="s">
        <v>58</v>
      </c>
      <c r="C21" s="480">
        <f>FGP!E20</f>
        <v>3.3605405615416495</v>
      </c>
      <c r="D21" s="427">
        <f t="shared" si="0"/>
        <v>49927.731751879473</v>
      </c>
      <c r="E21" s="462">
        <f>FGP!K20</f>
        <v>3.703231774645289</v>
      </c>
      <c r="F21" s="427">
        <f t="shared" si="1"/>
        <v>27509.556762306471</v>
      </c>
      <c r="G21" s="462">
        <f>FGP!Q20</f>
        <v>4.5025516600330908</v>
      </c>
      <c r="H21" s="462">
        <f t="shared" si="3"/>
        <v>0.45025516600330912</v>
      </c>
      <c r="I21" s="427">
        <f t="shared" si="4"/>
        <v>11149.108670877225</v>
      </c>
      <c r="J21" s="463">
        <f t="shared" si="2"/>
        <v>88586.397185063164</v>
      </c>
      <c r="K21" s="146"/>
      <c r="L21" s="164"/>
      <c r="M21" s="122"/>
      <c r="N21" s="122"/>
      <c r="O21" s="164"/>
      <c r="P21" s="165"/>
      <c r="Q21" s="166"/>
      <c r="R21" s="167"/>
      <c r="S21" s="157"/>
      <c r="T21" s="157"/>
    </row>
    <row r="22" spans="2:20" ht="22.5" customHeight="1" x14ac:dyDescent="0.25">
      <c r="B22" s="152" t="s">
        <v>59</v>
      </c>
      <c r="C22" s="480">
        <f>FGP!E21</f>
        <v>0.62187564753418989</v>
      </c>
      <c r="D22" s="427">
        <f t="shared" si="0"/>
        <v>9239.239921231514</v>
      </c>
      <c r="E22" s="462">
        <f>FGP!K21</f>
        <v>5.4326405147248629</v>
      </c>
      <c r="F22" s="427">
        <f t="shared" si="1"/>
        <v>40356.516065847478</v>
      </c>
      <c r="G22" s="462">
        <f>FGP!Q21</f>
        <v>7.0301457253488753</v>
      </c>
      <c r="H22" s="462">
        <f t="shared" si="3"/>
        <v>0.70301457253488753</v>
      </c>
      <c r="I22" s="427">
        <f t="shared" si="4"/>
        <v>17407.875485306828</v>
      </c>
      <c r="J22" s="463">
        <f t="shared" si="2"/>
        <v>67003.631472385823</v>
      </c>
      <c r="K22" s="146"/>
      <c r="L22" s="164"/>
      <c r="M22" s="122"/>
      <c r="N22" s="122"/>
      <c r="O22" s="164"/>
      <c r="P22" s="165"/>
      <c r="Q22" s="166"/>
      <c r="R22" s="167"/>
      <c r="S22" s="157"/>
      <c r="T22" s="157"/>
    </row>
    <row r="23" spans="2:20" ht="22.5" customHeight="1" x14ac:dyDescent="0.25">
      <c r="B23" s="152" t="s">
        <v>60</v>
      </c>
      <c r="C23" s="480">
        <f>FGP!E22</f>
        <v>2.0163405252797348</v>
      </c>
      <c r="D23" s="427">
        <f t="shared" si="0"/>
        <v>29956.879562384252</v>
      </c>
      <c r="E23" s="462">
        <f>FGP!K22</f>
        <v>2.9199248566161398</v>
      </c>
      <c r="F23" s="427">
        <f t="shared" si="1"/>
        <v>21690.740270353515</v>
      </c>
      <c r="G23" s="462">
        <f>FGP!Q22</f>
        <v>6.7508511152531661</v>
      </c>
      <c r="H23" s="462">
        <f t="shared" si="3"/>
        <v>0.67508511152531669</v>
      </c>
      <c r="I23" s="427">
        <f t="shared" si="4"/>
        <v>16716.292979593956</v>
      </c>
      <c r="J23" s="463">
        <f t="shared" si="2"/>
        <v>68363.91281233172</v>
      </c>
      <c r="K23" s="146"/>
      <c r="L23" s="164"/>
      <c r="M23" s="122"/>
      <c r="N23" s="122"/>
      <c r="O23" s="164"/>
      <c r="P23" s="165"/>
      <c r="Q23" s="166"/>
      <c r="R23" s="167"/>
      <c r="S23" s="157"/>
      <c r="T23" s="157"/>
    </row>
    <row r="24" spans="2:20" ht="22.5" customHeight="1" x14ac:dyDescent="0.25">
      <c r="B24" s="152" t="s">
        <v>61</v>
      </c>
      <c r="C24" s="480">
        <f>FGP!E23</f>
        <v>7.6069888365105687</v>
      </c>
      <c r="D24" s="427">
        <f t="shared" si="0"/>
        <v>113017.44201968749</v>
      </c>
      <c r="E24" s="462">
        <f>FGP!K23</f>
        <v>5.2142964293231353</v>
      </c>
      <c r="F24" s="427">
        <f t="shared" si="1"/>
        <v>38734.541159443448</v>
      </c>
      <c r="G24" s="462">
        <f>FGP!Q23</f>
        <v>2.2976002332466257</v>
      </c>
      <c r="H24" s="462">
        <f t="shared" si="3"/>
        <v>0.22976002332466258</v>
      </c>
      <c r="I24" s="427">
        <f t="shared" si="4"/>
        <v>5689.2616935596088</v>
      </c>
      <c r="J24" s="463">
        <f t="shared" si="2"/>
        <v>157441.24487269056</v>
      </c>
      <c r="K24" s="146"/>
      <c r="L24" s="164"/>
      <c r="M24" s="122"/>
      <c r="N24" s="122"/>
      <c r="O24" s="164"/>
      <c r="P24" s="165"/>
      <c r="Q24" s="166"/>
      <c r="R24" s="167"/>
      <c r="S24" s="157"/>
      <c r="T24" s="157"/>
    </row>
    <row r="25" spans="2:20" ht="22.5" customHeight="1" x14ac:dyDescent="0.25">
      <c r="B25" s="152" t="s">
        <v>62</v>
      </c>
      <c r="C25" s="480">
        <f>FGP!E24</f>
        <v>3.0057727673021133</v>
      </c>
      <c r="D25" s="427">
        <f t="shared" si="0"/>
        <v>44656.927564093741</v>
      </c>
      <c r="E25" s="462">
        <f>FGP!K24</f>
        <v>5.3318613766369403</v>
      </c>
      <c r="F25" s="427">
        <f t="shared" si="1"/>
        <v>39607.875530122008</v>
      </c>
      <c r="G25" s="462">
        <f>FGP!Q24</f>
        <v>4.1377346073920043</v>
      </c>
      <c r="H25" s="462">
        <f t="shared" si="3"/>
        <v>0.41377346073920046</v>
      </c>
      <c r="I25" s="427">
        <f t="shared" si="4"/>
        <v>10245.757577543025</v>
      </c>
      <c r="J25" s="463">
        <f t="shared" si="2"/>
        <v>94510.56067175878</v>
      </c>
      <c r="K25" s="146"/>
      <c r="L25" s="164"/>
      <c r="M25" s="122"/>
      <c r="N25" s="122"/>
      <c r="O25" s="164"/>
      <c r="P25" s="165"/>
      <c r="Q25" s="166"/>
      <c r="R25" s="167"/>
      <c r="S25" s="157"/>
      <c r="T25" s="157"/>
    </row>
    <row r="26" spans="2:20" ht="22.5" customHeight="1" x14ac:dyDescent="0.25">
      <c r="B26" s="152" t="s">
        <v>63</v>
      </c>
      <c r="C26" s="480">
        <f>FGP!E25</f>
        <v>34.475044032324909</v>
      </c>
      <c r="D26" s="427">
        <f t="shared" si="0"/>
        <v>512197.58222186787</v>
      </c>
      <c r="E26" s="462">
        <f>FGP!K25</f>
        <v>5.4749330729020729</v>
      </c>
      <c r="F26" s="427">
        <f t="shared" si="1"/>
        <v>40670.687470879384</v>
      </c>
      <c r="G26" s="462">
        <f>FGP!Q25</f>
        <v>0.63064822320473857</v>
      </c>
      <c r="H26" s="462">
        <f t="shared" si="3"/>
        <v>6.3064822320473862E-2</v>
      </c>
      <c r="I26" s="427">
        <f t="shared" si="4"/>
        <v>1561.595758249133</v>
      </c>
      <c r="J26" s="463">
        <f t="shared" si="2"/>
        <v>554429.86545099644</v>
      </c>
      <c r="K26" s="146"/>
      <c r="L26" s="164"/>
      <c r="M26" s="122"/>
      <c r="N26" s="122"/>
      <c r="O26" s="164"/>
      <c r="P26" s="165"/>
      <c r="Q26" s="166"/>
      <c r="R26" s="167"/>
      <c r="S26" s="157"/>
      <c r="T26" s="157"/>
    </row>
    <row r="27" spans="2:20" ht="22.5" customHeight="1" x14ac:dyDescent="0.25">
      <c r="B27" s="152" t="s">
        <v>64</v>
      </c>
      <c r="C27" s="480">
        <f>FGP!E26</f>
        <v>2.4334334852880231</v>
      </c>
      <c r="D27" s="427">
        <f t="shared" si="0"/>
        <v>36153.652087973991</v>
      </c>
      <c r="E27" s="462">
        <f>FGP!K26</f>
        <v>5.6639474376302665</v>
      </c>
      <c r="F27" s="427">
        <f t="shared" si="1"/>
        <v>42074.78575902382</v>
      </c>
      <c r="G27" s="462">
        <f>FGP!Q26</f>
        <v>4.4570159080760687</v>
      </c>
      <c r="H27" s="462">
        <f t="shared" si="3"/>
        <v>0.44570159080760691</v>
      </c>
      <c r="I27" s="427">
        <f t="shared" si="4"/>
        <v>11036.354151815201</v>
      </c>
      <c r="J27" s="463">
        <f t="shared" si="2"/>
        <v>89264.791998813016</v>
      </c>
      <c r="K27" s="146"/>
      <c r="L27" s="164"/>
      <c r="M27" s="122"/>
      <c r="N27" s="122"/>
      <c r="O27" s="164"/>
      <c r="P27" s="165"/>
      <c r="Q27" s="166"/>
      <c r="R27" s="167"/>
      <c r="S27" s="157"/>
      <c r="T27" s="157"/>
    </row>
    <row r="28" spans="2:20" ht="22.5" customHeight="1" thickBot="1" x14ac:dyDescent="0.3">
      <c r="B28" s="152" t="s">
        <v>65</v>
      </c>
      <c r="C28" s="480">
        <f>FGP!E27</f>
        <v>5.2797509583506006</v>
      </c>
      <c r="D28" s="427">
        <f t="shared" si="0"/>
        <v>78441.543774828882</v>
      </c>
      <c r="E28" s="462">
        <f>FGP!K27</f>
        <v>5.7274623192422194</v>
      </c>
      <c r="F28" s="427">
        <f t="shared" si="1"/>
        <v>42546.607764040658</v>
      </c>
      <c r="G28" s="462">
        <f>FGP!Q27</f>
        <v>2.8818143554825237</v>
      </c>
      <c r="H28" s="462">
        <f t="shared" si="3"/>
        <v>0.28818143554825237</v>
      </c>
      <c r="I28" s="427">
        <f t="shared" si="4"/>
        <v>7135.8784628209096</v>
      </c>
      <c r="J28" s="463">
        <f t="shared" si="2"/>
        <v>128124.03000169045</v>
      </c>
      <c r="K28" s="146"/>
      <c r="L28" s="164"/>
      <c r="M28" s="122"/>
      <c r="N28" s="122"/>
      <c r="O28" s="164"/>
      <c r="P28" s="165"/>
      <c r="Q28" s="166"/>
      <c r="R28" s="167"/>
      <c r="S28" s="157"/>
      <c r="T28" s="157"/>
    </row>
    <row r="29" spans="2:20" ht="15.75" thickBot="1" x14ac:dyDescent="0.3">
      <c r="B29" s="478" t="s">
        <v>66</v>
      </c>
      <c r="C29" s="481">
        <f>SUM(C9:C28)</f>
        <v>100</v>
      </c>
      <c r="D29" s="71">
        <f>Datos!K64*'FOCO ISAN'!C7</f>
        <v>1485705.375</v>
      </c>
      <c r="E29" s="214">
        <f>SUM(E9:E28)</f>
        <v>99.999999999999986</v>
      </c>
      <c r="F29" s="71">
        <f>Datos!K64*'FOCO ISAN'!E7</f>
        <v>742852.6875</v>
      </c>
      <c r="G29" s="214">
        <v>99.999999999999972</v>
      </c>
      <c r="H29" s="215">
        <f t="shared" si="3"/>
        <v>9.9999999999999982</v>
      </c>
      <c r="I29" s="71">
        <f>Datos!K64*'FOCO ISAN'!G7</f>
        <v>247617.5625</v>
      </c>
      <c r="J29" s="208">
        <f>SUM(J9:J28)</f>
        <v>2476175.625</v>
      </c>
      <c r="K29" s="213"/>
      <c r="L29" s="169"/>
      <c r="M29" s="168"/>
      <c r="N29" s="168"/>
      <c r="O29" s="169"/>
      <c r="P29" s="149"/>
      <c r="Q29" s="166"/>
      <c r="R29" s="167"/>
      <c r="S29" s="157"/>
      <c r="T29" s="157"/>
    </row>
    <row r="30" spans="2:20" x14ac:dyDescent="0.25">
      <c r="B30" s="967" t="s">
        <v>297</v>
      </c>
      <c r="C30" s="967"/>
      <c r="D30" s="967"/>
      <c r="E30" s="967"/>
      <c r="F30" s="967"/>
      <c r="G30" s="967"/>
      <c r="H30" s="9"/>
      <c r="I30" s="9"/>
      <c r="J30" s="9"/>
      <c r="K30" s="164"/>
      <c r="L30" s="156"/>
      <c r="M30" s="156"/>
      <c r="N30" s="157"/>
      <c r="O30" s="157"/>
      <c r="P30" s="157"/>
      <c r="Q30" s="157"/>
      <c r="R30" s="157"/>
      <c r="S30" s="157"/>
      <c r="T30" s="157"/>
    </row>
    <row r="31" spans="2:20" ht="27" customHeight="1" x14ac:dyDescent="0.25">
      <c r="B31" s="996"/>
      <c r="C31" s="997"/>
      <c r="D31" s="997"/>
      <c r="E31" s="997"/>
      <c r="F31" s="997"/>
      <c r="G31" s="997"/>
      <c r="H31" s="997"/>
      <c r="I31" s="997"/>
      <c r="J31" s="997"/>
      <c r="K31" s="553"/>
      <c r="L31" s="553"/>
      <c r="M31" s="553"/>
      <c r="N31" s="553"/>
      <c r="O31" s="553"/>
      <c r="P31" s="553"/>
      <c r="Q31" s="553"/>
      <c r="R31" s="553"/>
      <c r="S31" s="553"/>
      <c r="T31" s="553"/>
    </row>
    <row r="32" spans="2:20" x14ac:dyDescent="0.25">
      <c r="B32" s="942"/>
      <c r="C32" s="942"/>
      <c r="D32" s="942"/>
      <c r="E32" s="942"/>
      <c r="F32" s="942"/>
      <c r="G32" s="942"/>
      <c r="H32" s="942"/>
      <c r="I32" s="942"/>
      <c r="J32" s="942"/>
    </row>
  </sheetData>
  <mergeCells count="11">
    <mergeCell ref="B32:J32"/>
    <mergeCell ref="B30:G30"/>
    <mergeCell ref="B31:J31"/>
    <mergeCell ref="K5:K6"/>
    <mergeCell ref="B2:J2"/>
    <mergeCell ref="B5:B8"/>
    <mergeCell ref="D5:D6"/>
    <mergeCell ref="F5:F6"/>
    <mergeCell ref="I5:I6"/>
    <mergeCell ref="B3:J3"/>
    <mergeCell ref="J5:J7"/>
  </mergeCells>
  <printOptions horizontalCentered="1"/>
  <pageMargins left="0.70866141732283472" right="0.70866141732283472" top="0.74803149606299213" bottom="0.74803149606299213" header="0.31496062992125984" footer="0.31496062992125984"/>
  <pageSetup scale="84"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O36"/>
  <sheetViews>
    <sheetView zoomScaleNormal="100" workbookViewId="0">
      <selection activeCell="A4" sqref="A4:O4"/>
    </sheetView>
  </sheetViews>
  <sheetFormatPr baseColWidth="10" defaultColWidth="11.42578125" defaultRowHeight="12.75" x14ac:dyDescent="0.2"/>
  <cols>
    <col min="1" max="1" width="16.85546875" style="381" customWidth="1"/>
    <col min="2" max="2" width="9.28515625" style="381" bestFit="1" customWidth="1"/>
    <col min="3" max="3" width="9.85546875" style="381" customWidth="1"/>
    <col min="4" max="5" width="10" style="381" customWidth="1"/>
    <col min="6" max="6" width="9.5703125" style="381" customWidth="1"/>
    <col min="7" max="7" width="9.42578125" style="381" customWidth="1"/>
    <col min="8" max="8" width="8.85546875" style="381" customWidth="1"/>
    <col min="9" max="9" width="9.85546875" style="381" customWidth="1"/>
    <col min="10" max="10" width="9.42578125" style="381" customWidth="1"/>
    <col min="11" max="12" width="9.7109375" style="381" customWidth="1"/>
    <col min="13" max="13" width="10.42578125" style="381" customWidth="1"/>
    <col min="14" max="14" width="10.5703125" style="381" customWidth="1"/>
    <col min="15" max="15" width="12.7109375" style="381" bestFit="1" customWidth="1"/>
    <col min="16" max="16384" width="11.42578125" style="381"/>
  </cols>
  <sheetData>
    <row r="1" spans="1:15" ht="15.75" x14ac:dyDescent="0.25">
      <c r="A1" s="1005" t="s">
        <v>279</v>
      </c>
      <c r="B1" s="1005"/>
      <c r="C1" s="1005"/>
      <c r="D1" s="1005"/>
      <c r="E1" s="1005"/>
      <c r="F1" s="1005"/>
      <c r="G1" s="1005"/>
      <c r="H1" s="1005"/>
      <c r="I1" s="1005"/>
      <c r="J1" s="1005"/>
      <c r="K1" s="1005"/>
      <c r="L1" s="1005"/>
      <c r="M1" s="1005"/>
      <c r="N1" s="1005"/>
      <c r="O1" s="1005"/>
    </row>
    <row r="2" spans="1:15" x14ac:dyDescent="0.2">
      <c r="A2" s="1006" t="s">
        <v>280</v>
      </c>
      <c r="B2" s="1006"/>
      <c r="C2" s="1006"/>
      <c r="D2" s="1006"/>
      <c r="E2" s="1006"/>
      <c r="F2" s="1006"/>
      <c r="G2" s="1006"/>
      <c r="H2" s="1006"/>
      <c r="I2" s="1006"/>
      <c r="J2" s="1006"/>
      <c r="K2" s="1006"/>
      <c r="L2" s="1006"/>
      <c r="M2" s="1006"/>
      <c r="N2" s="1006"/>
      <c r="O2" s="1006"/>
    </row>
    <row r="3" spans="1:15" x14ac:dyDescent="0.2">
      <c r="A3" s="1006" t="s">
        <v>281</v>
      </c>
      <c r="B3" s="1006"/>
      <c r="C3" s="1006"/>
      <c r="D3" s="1006"/>
      <c r="E3" s="1006"/>
      <c r="F3" s="1006"/>
      <c r="G3" s="1006"/>
      <c r="H3" s="1006"/>
      <c r="I3" s="1006"/>
      <c r="J3" s="1006"/>
      <c r="K3" s="1006"/>
      <c r="L3" s="1006"/>
      <c r="M3" s="1006"/>
      <c r="N3" s="1006"/>
      <c r="O3" s="1006"/>
    </row>
    <row r="4" spans="1:15" x14ac:dyDescent="0.2">
      <c r="A4" s="1007" t="s">
        <v>282</v>
      </c>
      <c r="B4" s="1007"/>
      <c r="C4" s="1007"/>
      <c r="D4" s="1007"/>
      <c r="E4" s="1007"/>
      <c r="F4" s="1007"/>
      <c r="G4" s="1007"/>
      <c r="H4" s="1007"/>
      <c r="I4" s="1007"/>
      <c r="J4" s="1007"/>
      <c r="K4" s="1007"/>
      <c r="L4" s="1007"/>
      <c r="M4" s="1007"/>
      <c r="N4" s="1007"/>
      <c r="O4" s="1007"/>
    </row>
    <row r="5" spans="1:15" ht="13.5" thickBot="1" x14ac:dyDescent="0.25"/>
    <row r="6" spans="1:15" ht="23.25" thickBot="1" x14ac:dyDescent="0.25">
      <c r="A6" s="382" t="s">
        <v>14</v>
      </c>
      <c r="B6" s="819" t="s">
        <v>283</v>
      </c>
      <c r="C6" s="382" t="s">
        <v>1</v>
      </c>
      <c r="D6" s="383" t="s">
        <v>2</v>
      </c>
      <c r="E6" s="382" t="s">
        <v>3</v>
      </c>
      <c r="F6" s="383" t="s">
        <v>4</v>
      </c>
      <c r="G6" s="382" t="s">
        <v>5</v>
      </c>
      <c r="H6" s="382" t="s">
        <v>6</v>
      </c>
      <c r="I6" s="382" t="s">
        <v>7</v>
      </c>
      <c r="J6" s="383" t="s">
        <v>8</v>
      </c>
      <c r="K6" s="382" t="s">
        <v>9</v>
      </c>
      <c r="L6" s="383" t="s">
        <v>10</v>
      </c>
      <c r="M6" s="382" t="s">
        <v>11</v>
      </c>
      <c r="N6" s="382" t="s">
        <v>12</v>
      </c>
      <c r="O6" s="384" t="s">
        <v>169</v>
      </c>
    </row>
    <row r="7" spans="1:15" x14ac:dyDescent="0.2">
      <c r="A7" s="385" t="s">
        <v>284</v>
      </c>
      <c r="B7" s="386">
        <v>3.9399999999999998E-2</v>
      </c>
      <c r="C7" s="387">
        <v>56963.546951054755</v>
      </c>
      <c r="D7" s="388">
        <v>86906.697217008536</v>
      </c>
      <c r="E7" s="387">
        <v>59746.246585840105</v>
      </c>
      <c r="F7" s="388">
        <v>67867.982827057887</v>
      </c>
      <c r="G7" s="387">
        <v>64660.762935787861</v>
      </c>
      <c r="H7" s="387">
        <v>67599.96159390721</v>
      </c>
      <c r="I7" s="389">
        <v>68696.572300394633</v>
      </c>
      <c r="J7" s="388">
        <v>71269.225402021868</v>
      </c>
      <c r="K7" s="387">
        <v>68949.326174828399</v>
      </c>
      <c r="L7" s="388">
        <v>67391.350673871697</v>
      </c>
      <c r="M7" s="387">
        <v>65860.428313614349</v>
      </c>
      <c r="N7" s="387">
        <v>66121.899024612852</v>
      </c>
      <c r="O7" s="390">
        <f>SUM(C7:N7)</f>
        <v>812034</v>
      </c>
    </row>
    <row r="8" spans="1:15" x14ac:dyDescent="0.2">
      <c r="A8" s="385" t="s">
        <v>148</v>
      </c>
      <c r="B8" s="391">
        <v>5.7799999999999997E-2</v>
      </c>
      <c r="C8" s="387">
        <v>83565.812532257987</v>
      </c>
      <c r="D8" s="388">
        <v>127492.56596809882</v>
      </c>
      <c r="E8" s="387">
        <v>87648.047021866951</v>
      </c>
      <c r="F8" s="388">
        <v>99562.675314820954</v>
      </c>
      <c r="G8" s="387">
        <v>94857.667454023816</v>
      </c>
      <c r="H8" s="387">
        <v>99169.486805275053</v>
      </c>
      <c r="I8" s="387">
        <v>100778.22027824391</v>
      </c>
      <c r="J8" s="388">
        <v>104552.31543748386</v>
      </c>
      <c r="K8" s="387">
        <v>101149.01149505284</v>
      </c>
      <c r="L8" s="388">
        <v>98863.453526644254</v>
      </c>
      <c r="M8" s="387">
        <v>96617.582652967249</v>
      </c>
      <c r="N8" s="387">
        <v>97001.161513264538</v>
      </c>
      <c r="O8" s="390">
        <f t="shared" ref="O8:O26" si="0">SUM(C8:N8)</f>
        <v>1191258.0000000002</v>
      </c>
    </row>
    <row r="9" spans="1:15" x14ac:dyDescent="0.2">
      <c r="A9" s="385" t="s">
        <v>149</v>
      </c>
      <c r="B9" s="391">
        <v>6.1199999999999997E-2</v>
      </c>
      <c r="C9" s="387">
        <v>88481.44856356729</v>
      </c>
      <c r="D9" s="388">
        <v>134992.12867210462</v>
      </c>
      <c r="E9" s="387">
        <v>92803.814493741476</v>
      </c>
      <c r="F9" s="388">
        <v>105419.30327451631</v>
      </c>
      <c r="G9" s="387">
        <v>100437.53024543698</v>
      </c>
      <c r="H9" s="387">
        <v>105002.98602911476</v>
      </c>
      <c r="I9" s="387">
        <v>106706.3508828465</v>
      </c>
      <c r="J9" s="388">
        <v>110702.45163968879</v>
      </c>
      <c r="K9" s="387">
        <v>107098.95334770301</v>
      </c>
      <c r="L9" s="388">
        <v>104678.95079291746</v>
      </c>
      <c r="M9" s="387">
        <v>102300.96986784769</v>
      </c>
      <c r="N9" s="387">
        <v>102707.1121905154</v>
      </c>
      <c r="O9" s="390">
        <f t="shared" si="0"/>
        <v>1261332.0000000005</v>
      </c>
    </row>
    <row r="10" spans="1:15" x14ac:dyDescent="0.2">
      <c r="A10" s="385" t="s">
        <v>285</v>
      </c>
      <c r="B10" s="391">
        <v>5.0799999999999998E-2</v>
      </c>
      <c r="C10" s="387">
        <v>73445.385408974151</v>
      </c>
      <c r="D10" s="388">
        <v>112052.28981279273</v>
      </c>
      <c r="E10" s="387">
        <v>77033.231638595869</v>
      </c>
      <c r="F10" s="388">
        <v>87504.911868389361</v>
      </c>
      <c r="G10" s="387">
        <v>83369.714648173191</v>
      </c>
      <c r="H10" s="387">
        <v>87159.341344428598</v>
      </c>
      <c r="I10" s="387">
        <v>88573.245504062128</v>
      </c>
      <c r="J10" s="388">
        <v>91890.270315297239</v>
      </c>
      <c r="K10" s="387">
        <v>88899.131210184845</v>
      </c>
      <c r="L10" s="388">
        <v>86890.370919611218</v>
      </c>
      <c r="M10" s="387">
        <v>84916.491328213437</v>
      </c>
      <c r="N10" s="387">
        <v>85253.616001277493</v>
      </c>
      <c r="O10" s="390">
        <f t="shared" si="0"/>
        <v>1046988.0000000002</v>
      </c>
    </row>
    <row r="11" spans="1:15" x14ac:dyDescent="0.2">
      <c r="A11" s="385" t="s">
        <v>151</v>
      </c>
      <c r="B11" s="391">
        <v>3.0700000000000002E-2</v>
      </c>
      <c r="C11" s="387">
        <v>44385.301812116275</v>
      </c>
      <c r="D11" s="388">
        <v>67716.63970969955</v>
      </c>
      <c r="E11" s="387">
        <v>46553.54746663176</v>
      </c>
      <c r="F11" s="388">
        <v>52881.905400778611</v>
      </c>
      <c r="G11" s="387">
        <v>50382.878734230646</v>
      </c>
      <c r="H11" s="387">
        <v>52673.066521140907</v>
      </c>
      <c r="I11" s="387">
        <v>53527.532223911563</v>
      </c>
      <c r="J11" s="388">
        <v>55532.112178732787</v>
      </c>
      <c r="K11" s="387">
        <v>53724.474963635337</v>
      </c>
      <c r="L11" s="388">
        <v>52510.519433702058</v>
      </c>
      <c r="M11" s="387">
        <v>51317.643381420326</v>
      </c>
      <c r="N11" s="387">
        <v>51521.378174000376</v>
      </c>
      <c r="O11" s="390">
        <f t="shared" si="0"/>
        <v>632727.00000000023</v>
      </c>
    </row>
    <row r="12" spans="1:15" x14ac:dyDescent="0.2">
      <c r="A12" s="385" t="s">
        <v>286</v>
      </c>
      <c r="B12" s="391">
        <v>9.5100000000000004E-2</v>
      </c>
      <c r="C12" s="387">
        <v>137493.23134632761</v>
      </c>
      <c r="D12" s="388">
        <v>209767.18033851555</v>
      </c>
      <c r="E12" s="387">
        <v>144209.84899272575</v>
      </c>
      <c r="F12" s="388">
        <v>163813.32910794936</v>
      </c>
      <c r="G12" s="387">
        <v>156072.0445480565</v>
      </c>
      <c r="H12" s="387">
        <v>163166.40476092836</v>
      </c>
      <c r="I12" s="387">
        <v>165813.30014638402</v>
      </c>
      <c r="J12" s="388">
        <v>172022.92730284977</v>
      </c>
      <c r="K12" s="387">
        <v>166423.37358442086</v>
      </c>
      <c r="L12" s="388">
        <v>162662.87941840605</v>
      </c>
      <c r="M12" s="387">
        <v>158967.68356915549</v>
      </c>
      <c r="N12" s="387">
        <v>159598.7968842813</v>
      </c>
      <c r="O12" s="390">
        <f t="shared" si="0"/>
        <v>1960011.0000000005</v>
      </c>
    </row>
    <row r="13" spans="1:15" x14ac:dyDescent="0.2">
      <c r="A13" s="385" t="s">
        <v>153</v>
      </c>
      <c r="B13" s="391">
        <v>9.3299999999999994E-2</v>
      </c>
      <c r="C13" s="387">
        <v>134890.83580034031</v>
      </c>
      <c r="D13" s="388">
        <v>205796.82361286538</v>
      </c>
      <c r="E13" s="387">
        <v>141480.32503702745</v>
      </c>
      <c r="F13" s="388">
        <v>160712.76136458124</v>
      </c>
      <c r="G13" s="387">
        <v>153117.99954083774</v>
      </c>
      <c r="H13" s="387">
        <v>160078.08164242495</v>
      </c>
      <c r="I13" s="387">
        <v>162674.87806159441</v>
      </c>
      <c r="J13" s="388">
        <v>168766.9728428589</v>
      </c>
      <c r="K13" s="387">
        <v>163273.40436831192</v>
      </c>
      <c r="L13" s="388">
        <v>159584.08674802611</v>
      </c>
      <c r="M13" s="387">
        <v>155958.83151421876</v>
      </c>
      <c r="N13" s="387">
        <v>156577.99946691317</v>
      </c>
      <c r="O13" s="390">
        <f t="shared" si="0"/>
        <v>1922913.0000000005</v>
      </c>
    </row>
    <row r="14" spans="1:15" x14ac:dyDescent="0.2">
      <c r="A14" s="385" t="s">
        <v>154</v>
      </c>
      <c r="B14" s="391">
        <v>4.5199999999999997E-2</v>
      </c>
      <c r="C14" s="387">
        <v>65349.043710347076</v>
      </c>
      <c r="D14" s="388">
        <v>99700.068888547859</v>
      </c>
      <c r="E14" s="387">
        <v>68541.379331978998</v>
      </c>
      <c r="F14" s="388">
        <v>77858.701111244067</v>
      </c>
      <c r="G14" s="387">
        <v>74179.352403492667</v>
      </c>
      <c r="H14" s="387">
        <v>77551.224975751422</v>
      </c>
      <c r="I14" s="387">
        <v>78809.265684716695</v>
      </c>
      <c r="J14" s="388">
        <v>81760.634217547937</v>
      </c>
      <c r="K14" s="387">
        <v>79099.226982290449</v>
      </c>
      <c r="L14" s="388">
        <v>77311.90483398478</v>
      </c>
      <c r="M14" s="387">
        <v>75555.618268410384</v>
      </c>
      <c r="N14" s="387">
        <v>75855.579591687841</v>
      </c>
      <c r="O14" s="390">
        <f t="shared" si="0"/>
        <v>931572.00000000035</v>
      </c>
    </row>
    <row r="15" spans="1:15" x14ac:dyDescent="0.2">
      <c r="A15" s="385" t="s">
        <v>155</v>
      </c>
      <c r="B15" s="391">
        <v>5.0799999999999998E-2</v>
      </c>
      <c r="C15" s="387">
        <v>73445.385408974151</v>
      </c>
      <c r="D15" s="388">
        <v>112052.28981279273</v>
      </c>
      <c r="E15" s="387">
        <v>77033.231638595869</v>
      </c>
      <c r="F15" s="388">
        <v>87504.911868389361</v>
      </c>
      <c r="G15" s="387">
        <v>83369.714648173191</v>
      </c>
      <c r="H15" s="387">
        <v>87159.341344428598</v>
      </c>
      <c r="I15" s="387">
        <v>88573.245504062128</v>
      </c>
      <c r="J15" s="388">
        <v>91890.270315297239</v>
      </c>
      <c r="K15" s="387">
        <v>88899.131210184845</v>
      </c>
      <c r="L15" s="388">
        <v>86890.370919611218</v>
      </c>
      <c r="M15" s="387">
        <v>84916.491328213437</v>
      </c>
      <c r="N15" s="387">
        <v>85253.616001277493</v>
      </c>
      <c r="O15" s="390">
        <f t="shared" si="0"/>
        <v>1046988.0000000002</v>
      </c>
    </row>
    <row r="16" spans="1:15" x14ac:dyDescent="0.2">
      <c r="A16" s="385" t="s">
        <v>156</v>
      </c>
      <c r="B16" s="391">
        <v>8.9200000000000002E-2</v>
      </c>
      <c r="C16" s="387">
        <v>128963.15705670265</v>
      </c>
      <c r="D16" s="388">
        <v>196753.23329332899</v>
      </c>
      <c r="E16" s="387">
        <v>135263.07602682582</v>
      </c>
      <c r="F16" s="388">
        <v>153650.35706024274</v>
      </c>
      <c r="G16" s="387">
        <v>146389.34146883953</v>
      </c>
      <c r="H16" s="387">
        <v>153043.5678725006</v>
      </c>
      <c r="I16" s="387">
        <v>155526.24997957365</v>
      </c>
      <c r="J16" s="388">
        <v>161350.6321284353</v>
      </c>
      <c r="K16" s="387">
        <v>156098.47448717497</v>
      </c>
      <c r="L16" s="388">
        <v>152571.28122104963</v>
      </c>
      <c r="M16" s="387">
        <v>149105.33516686296</v>
      </c>
      <c r="N16" s="387">
        <v>149697.29423846363</v>
      </c>
      <c r="O16" s="390">
        <f t="shared" si="0"/>
        <v>1838412.0000000005</v>
      </c>
    </row>
    <row r="17" spans="1:15" x14ac:dyDescent="0.2">
      <c r="A17" s="385" t="s">
        <v>157</v>
      </c>
      <c r="B17" s="391">
        <v>5.0200000000000002E-2</v>
      </c>
      <c r="C17" s="387">
        <v>72577.9202269784</v>
      </c>
      <c r="D17" s="388">
        <v>110728.83757090935</v>
      </c>
      <c r="E17" s="387">
        <v>76123.390320029779</v>
      </c>
      <c r="F17" s="388">
        <v>86471.389287266647</v>
      </c>
      <c r="G17" s="387">
        <v>82385.032979100273</v>
      </c>
      <c r="H17" s="387">
        <v>86129.900304927476</v>
      </c>
      <c r="I17" s="387">
        <v>87527.104809132259</v>
      </c>
      <c r="J17" s="388">
        <v>90804.952161966954</v>
      </c>
      <c r="K17" s="387">
        <v>87849.141471481882</v>
      </c>
      <c r="L17" s="388">
        <v>85864.106696151255</v>
      </c>
      <c r="M17" s="387">
        <v>83913.540643234548</v>
      </c>
      <c r="N17" s="387">
        <v>84246.683528821464</v>
      </c>
      <c r="O17" s="390">
        <f t="shared" si="0"/>
        <v>1034622.0000000002</v>
      </c>
    </row>
    <row r="18" spans="1:15" x14ac:dyDescent="0.2">
      <c r="A18" s="385" t="s">
        <v>158</v>
      </c>
      <c r="B18" s="391">
        <v>4.2900000000000001E-2</v>
      </c>
      <c r="C18" s="387">
        <v>62023.760512696681</v>
      </c>
      <c r="D18" s="388">
        <v>94626.835294661578</v>
      </c>
      <c r="E18" s="387">
        <v>65053.654277475653</v>
      </c>
      <c r="F18" s="388">
        <v>73896.864550273691</v>
      </c>
      <c r="G18" s="387">
        <v>70404.739338713189</v>
      </c>
      <c r="H18" s="387">
        <v>73605.034324330452</v>
      </c>
      <c r="I18" s="387">
        <v>74799.05968748554</v>
      </c>
      <c r="J18" s="388">
        <v>77600.247963115195</v>
      </c>
      <c r="K18" s="387">
        <v>75074.266317262402</v>
      </c>
      <c r="L18" s="388">
        <v>73377.891977388223</v>
      </c>
      <c r="M18" s="387">
        <v>71710.973975991277</v>
      </c>
      <c r="N18" s="387">
        <v>71995.671780606383</v>
      </c>
      <c r="O18" s="390">
        <f t="shared" si="0"/>
        <v>884169.00000000023</v>
      </c>
    </row>
    <row r="19" spans="1:15" x14ac:dyDescent="0.2">
      <c r="A19" s="385" t="s">
        <v>159</v>
      </c>
      <c r="B19" s="391">
        <v>3.04E-2</v>
      </c>
      <c r="C19" s="387">
        <v>43951.569221118392</v>
      </c>
      <c r="D19" s="388">
        <v>67054.91358875786</v>
      </c>
      <c r="E19" s="387">
        <v>46098.626807348708</v>
      </c>
      <c r="F19" s="388">
        <v>52365.144110217254</v>
      </c>
      <c r="G19" s="387">
        <v>49890.537899694187</v>
      </c>
      <c r="H19" s="387">
        <v>52158.346001390346</v>
      </c>
      <c r="I19" s="387">
        <v>53004.461876446629</v>
      </c>
      <c r="J19" s="388">
        <v>54989.453102067637</v>
      </c>
      <c r="K19" s="387">
        <v>53199.480094283848</v>
      </c>
      <c r="L19" s="388">
        <v>51997.38732197207</v>
      </c>
      <c r="M19" s="387">
        <v>50816.168038930875</v>
      </c>
      <c r="N19" s="387">
        <v>51017.911937772355</v>
      </c>
      <c r="O19" s="390">
        <f t="shared" si="0"/>
        <v>626544.00000000023</v>
      </c>
    </row>
    <row r="20" spans="1:15" x14ac:dyDescent="0.2">
      <c r="A20" s="385" t="s">
        <v>287</v>
      </c>
      <c r="B20" s="391">
        <v>6.7000000000000004E-2</v>
      </c>
      <c r="C20" s="387">
        <v>96866.94532285961</v>
      </c>
      <c r="D20" s="388">
        <v>147785.50034364397</v>
      </c>
      <c r="E20" s="387">
        <v>101598.94723988039</v>
      </c>
      <c r="F20" s="388">
        <v>115410.02155870252</v>
      </c>
      <c r="G20" s="387">
        <v>109956.1197131418</v>
      </c>
      <c r="H20" s="387">
        <v>114954.24941095899</v>
      </c>
      <c r="I20" s="387">
        <v>116819.04426716856</v>
      </c>
      <c r="J20" s="388">
        <v>121193.86045521488</v>
      </c>
      <c r="K20" s="387">
        <v>117248.85415516507</v>
      </c>
      <c r="L20" s="388">
        <v>114599.50495303056</v>
      </c>
      <c r="M20" s="387">
        <v>111996.15982264372</v>
      </c>
      <c r="N20" s="387">
        <v>112440.7927575904</v>
      </c>
      <c r="O20" s="390">
        <f t="shared" si="0"/>
        <v>1380870.0000000002</v>
      </c>
    </row>
    <row r="21" spans="1:15" x14ac:dyDescent="0.2">
      <c r="A21" s="385" t="s">
        <v>288</v>
      </c>
      <c r="B21" s="391">
        <v>5.0799999999999998E-2</v>
      </c>
      <c r="C21" s="387">
        <v>73445.385408974151</v>
      </c>
      <c r="D21" s="388">
        <v>112052.28981279273</v>
      </c>
      <c r="E21" s="387">
        <v>77033.231638595869</v>
      </c>
      <c r="F21" s="388">
        <v>87504.911868389361</v>
      </c>
      <c r="G21" s="387">
        <v>83369.714648173191</v>
      </c>
      <c r="H21" s="387">
        <v>87159.341344428598</v>
      </c>
      <c r="I21" s="387">
        <v>88573.245504062128</v>
      </c>
      <c r="J21" s="388">
        <v>91890.270315297239</v>
      </c>
      <c r="K21" s="387">
        <v>88899.131210184845</v>
      </c>
      <c r="L21" s="388">
        <v>86890.370919611218</v>
      </c>
      <c r="M21" s="387">
        <v>84916.491328213437</v>
      </c>
      <c r="N21" s="387">
        <v>85253.616001277493</v>
      </c>
      <c r="O21" s="390">
        <f t="shared" si="0"/>
        <v>1046988.0000000002</v>
      </c>
    </row>
    <row r="22" spans="1:15" x14ac:dyDescent="0.2">
      <c r="A22" s="385" t="s">
        <v>289</v>
      </c>
      <c r="B22" s="391">
        <v>1.7000000000000001E-2</v>
      </c>
      <c r="C22" s="387">
        <v>24578.18015654647</v>
      </c>
      <c r="D22" s="388">
        <v>37497.813520029071</v>
      </c>
      <c r="E22" s="387">
        <v>25778.837359372636</v>
      </c>
      <c r="F22" s="388">
        <v>29283.139798476757</v>
      </c>
      <c r="G22" s="387">
        <v>27899.313957065831</v>
      </c>
      <c r="H22" s="387">
        <v>29167.496119198549</v>
      </c>
      <c r="I22" s="387">
        <v>29640.653023012917</v>
      </c>
      <c r="J22" s="388">
        <v>30750.68101102467</v>
      </c>
      <c r="K22" s="387">
        <v>29749.709263250839</v>
      </c>
      <c r="L22" s="388">
        <v>29077.486331365963</v>
      </c>
      <c r="M22" s="387">
        <v>28416.936074402136</v>
      </c>
      <c r="N22" s="387">
        <v>28529.75338625428</v>
      </c>
      <c r="O22" s="390">
        <f t="shared" si="0"/>
        <v>350370.00000000012</v>
      </c>
    </row>
    <row r="23" spans="1:15" x14ac:dyDescent="0.2">
      <c r="A23" s="385" t="s">
        <v>163</v>
      </c>
      <c r="B23" s="391">
        <v>4.0800000000000003E-2</v>
      </c>
      <c r="C23" s="387">
        <v>58987.632375711531</v>
      </c>
      <c r="D23" s="388">
        <v>89994.752448069761</v>
      </c>
      <c r="E23" s="387">
        <v>61869.20966249433</v>
      </c>
      <c r="F23" s="388">
        <v>70279.535516344215</v>
      </c>
      <c r="G23" s="387">
        <v>66958.353496957992</v>
      </c>
      <c r="H23" s="387">
        <v>70001.990686076519</v>
      </c>
      <c r="I23" s="387">
        <v>71137.567255230999</v>
      </c>
      <c r="J23" s="388">
        <v>73801.634426459204</v>
      </c>
      <c r="K23" s="387">
        <v>71399.302231802008</v>
      </c>
      <c r="L23" s="388">
        <v>69785.96719527831</v>
      </c>
      <c r="M23" s="387">
        <v>68200.646578565123</v>
      </c>
      <c r="N23" s="387">
        <v>68471.408127010276</v>
      </c>
      <c r="O23" s="390">
        <f t="shared" si="0"/>
        <v>840888.00000000023</v>
      </c>
    </row>
    <row r="24" spans="1:15" x14ac:dyDescent="0.2">
      <c r="A24" s="385" t="s">
        <v>164</v>
      </c>
      <c r="B24" s="391">
        <v>3.7000000000000002E-3</v>
      </c>
      <c r="C24" s="387">
        <v>5349.3686223071727</v>
      </c>
      <c r="D24" s="388">
        <v>8161.2888249475027</v>
      </c>
      <c r="E24" s="387">
        <v>5610.6881311575735</v>
      </c>
      <c r="F24" s="388">
        <v>6373.389250256706</v>
      </c>
      <c r="G24" s="387">
        <v>6072.2036259496217</v>
      </c>
      <c r="H24" s="387">
        <v>6348.2197435902726</v>
      </c>
      <c r="I24" s="387">
        <v>6451.2009520675174</v>
      </c>
      <c r="J24" s="388">
        <v>6692.795278870075</v>
      </c>
      <c r="K24" s="387">
        <v>6474.9367220016529</v>
      </c>
      <c r="L24" s="388">
        <v>6328.6293780031801</v>
      </c>
      <c r="M24" s="387">
        <v>6184.8625573698764</v>
      </c>
      <c r="N24" s="387">
        <v>6209.4169134788726</v>
      </c>
      <c r="O24" s="390">
        <f t="shared" si="0"/>
        <v>76257.000000000015</v>
      </c>
    </row>
    <row r="25" spans="1:15" x14ac:dyDescent="0.2">
      <c r="A25" s="385" t="s">
        <v>165</v>
      </c>
      <c r="B25" s="391">
        <v>3.7699999999999997E-2</v>
      </c>
      <c r="C25" s="387">
        <v>54505.728935400104</v>
      </c>
      <c r="D25" s="388">
        <v>83156.91586500562</v>
      </c>
      <c r="E25" s="387">
        <v>57168.362849902842</v>
      </c>
      <c r="F25" s="388">
        <v>64939.668847210211</v>
      </c>
      <c r="G25" s="387">
        <v>61870.831540081279</v>
      </c>
      <c r="H25" s="387">
        <v>64683.211981987362</v>
      </c>
      <c r="I25" s="387">
        <v>65732.506998093348</v>
      </c>
      <c r="J25" s="388">
        <v>68194.157300919396</v>
      </c>
      <c r="K25" s="387">
        <v>65974.355248503314</v>
      </c>
      <c r="L25" s="388">
        <v>64483.602040735095</v>
      </c>
      <c r="M25" s="387">
        <v>63018.734706174146</v>
      </c>
      <c r="N25" s="387">
        <v>63268.923685987422</v>
      </c>
      <c r="O25" s="390">
        <f t="shared" si="0"/>
        <v>776997</v>
      </c>
    </row>
    <row r="26" spans="1:15" ht="13.5" thickBot="1" x14ac:dyDescent="0.25">
      <c r="A26" s="385" t="s">
        <v>166</v>
      </c>
      <c r="B26" s="392">
        <v>4.5999999999999999E-2</v>
      </c>
      <c r="C26" s="387">
        <v>66505.663953008087</v>
      </c>
      <c r="D26" s="388">
        <v>101464.6718777257</v>
      </c>
      <c r="E26" s="387">
        <v>69754.501090067133</v>
      </c>
      <c r="F26" s="388">
        <v>79236.73121940768</v>
      </c>
      <c r="G26" s="387">
        <v>75492.261295589895</v>
      </c>
      <c r="H26" s="387">
        <v>78923.813028419594</v>
      </c>
      <c r="I26" s="393">
        <v>80204.119944623177</v>
      </c>
      <c r="J26" s="388">
        <v>83207.725088654974</v>
      </c>
      <c r="K26" s="387">
        <v>80499.213300561081</v>
      </c>
      <c r="L26" s="388">
        <v>78680.257131931416</v>
      </c>
      <c r="M26" s="387">
        <v>76892.885848382241</v>
      </c>
      <c r="N26" s="387">
        <v>77198.156221629222</v>
      </c>
      <c r="O26" s="390">
        <f t="shared" si="0"/>
        <v>948060.00000000023</v>
      </c>
    </row>
    <row r="27" spans="1:15" ht="13.5" thickBot="1" x14ac:dyDescent="0.25">
      <c r="A27" s="394" t="s">
        <v>290</v>
      </c>
      <c r="B27" s="395">
        <f>SUM(B7:B26)</f>
        <v>1</v>
      </c>
      <c r="C27" s="396">
        <f>SUM(C7:C26)</f>
        <v>1445775.3033262629</v>
      </c>
      <c r="D27" s="396">
        <f t="shared" ref="D27:O27" si="1">SUM(D7:D26)</f>
        <v>2205753.7364722979</v>
      </c>
      <c r="E27" s="396">
        <f t="shared" si="1"/>
        <v>1516402.197610155</v>
      </c>
      <c r="F27" s="396">
        <f t="shared" si="1"/>
        <v>1722537.6352045152</v>
      </c>
      <c r="G27" s="396">
        <f t="shared" si="1"/>
        <v>1641136.1151215194</v>
      </c>
      <c r="H27" s="396">
        <f t="shared" si="1"/>
        <v>1715735.0658352086</v>
      </c>
      <c r="I27" s="396">
        <f t="shared" si="1"/>
        <v>1743567.8248831125</v>
      </c>
      <c r="J27" s="396">
        <f t="shared" si="1"/>
        <v>1808863.5888838039</v>
      </c>
      <c r="K27" s="396">
        <f t="shared" si="1"/>
        <v>1749982.8978382845</v>
      </c>
      <c r="L27" s="396">
        <f t="shared" si="1"/>
        <v>1710440.3724332915</v>
      </c>
      <c r="M27" s="396">
        <f t="shared" si="1"/>
        <v>1671584.474964832</v>
      </c>
      <c r="N27" s="396">
        <f t="shared" si="1"/>
        <v>1678220.787426722</v>
      </c>
      <c r="O27" s="396">
        <f t="shared" si="1"/>
        <v>20610000.000000004</v>
      </c>
    </row>
    <row r="28" spans="1:15" x14ac:dyDescent="0.2">
      <c r="A28" s="566" t="s">
        <v>291</v>
      </c>
      <c r="B28" s="562"/>
      <c r="C28" s="562"/>
      <c r="D28" s="562"/>
      <c r="E28" s="562"/>
      <c r="F28" s="562"/>
      <c r="G28" s="562"/>
      <c r="H28" s="562"/>
      <c r="I28" s="562"/>
      <c r="J28" s="562"/>
      <c r="K28" s="562"/>
      <c r="L28" s="562"/>
      <c r="M28" s="562"/>
      <c r="N28" s="562"/>
      <c r="O28" s="562"/>
    </row>
    <row r="29" spans="1:15" x14ac:dyDescent="0.2">
      <c r="A29" s="561"/>
      <c r="B29" s="563"/>
      <c r="C29" s="563"/>
      <c r="D29" s="563"/>
      <c r="E29" s="563"/>
      <c r="F29" s="563"/>
      <c r="G29" s="563"/>
      <c r="H29" s="563"/>
      <c r="I29" s="563"/>
      <c r="J29" s="563"/>
      <c r="K29" s="563"/>
      <c r="L29" s="563"/>
      <c r="M29" s="563"/>
      <c r="N29" s="563"/>
      <c r="O29" s="563"/>
    </row>
    <row r="30" spans="1:15" x14ac:dyDescent="0.2">
      <c r="A30" s="564" t="s">
        <v>292</v>
      </c>
      <c r="B30" s="565"/>
      <c r="C30" s="565"/>
      <c r="D30" s="565"/>
      <c r="E30" s="565"/>
      <c r="F30" s="565"/>
      <c r="G30" s="565"/>
      <c r="H30" s="565"/>
      <c r="I30" s="565"/>
      <c r="J30" s="565"/>
      <c r="K30" s="565"/>
      <c r="L30" s="565"/>
      <c r="M30" s="565"/>
      <c r="N30" s="565"/>
      <c r="O30" s="565"/>
    </row>
    <row r="31" spans="1:15" ht="27" customHeight="1" x14ac:dyDescent="0.2">
      <c r="A31" s="1008" t="s">
        <v>293</v>
      </c>
      <c r="B31" s="1009"/>
      <c r="C31" s="1009"/>
      <c r="D31" s="1009"/>
      <c r="E31" s="1009"/>
      <c r="F31" s="1009"/>
      <c r="G31" s="1009"/>
      <c r="H31" s="1009"/>
      <c r="I31" s="1009"/>
      <c r="J31" s="1009"/>
      <c r="K31" s="1009"/>
      <c r="L31" s="1009"/>
      <c r="M31" s="1009"/>
      <c r="N31" s="1009"/>
      <c r="O31" s="1009"/>
    </row>
    <row r="34" spans="3:15" hidden="1" x14ac:dyDescent="0.2">
      <c r="C34" s="813">
        <f>ROUND(C27,2)</f>
        <v>1445775.3</v>
      </c>
      <c r="D34" s="813">
        <f t="shared" ref="D34:N34" si="2">ROUND(D27,2)</f>
        <v>2205753.7400000002</v>
      </c>
      <c r="E34" s="813">
        <f t="shared" si="2"/>
        <v>1516402.2</v>
      </c>
      <c r="F34" s="813">
        <f t="shared" si="2"/>
        <v>1722537.64</v>
      </c>
      <c r="G34" s="813">
        <f t="shared" si="2"/>
        <v>1641136.12</v>
      </c>
      <c r="H34" s="813">
        <f t="shared" si="2"/>
        <v>1715735.07</v>
      </c>
      <c r="I34" s="813">
        <f t="shared" si="2"/>
        <v>1743567.82</v>
      </c>
      <c r="J34" s="813">
        <f t="shared" si="2"/>
        <v>1808863.59</v>
      </c>
      <c r="K34" s="813">
        <f t="shared" si="2"/>
        <v>1749982.9</v>
      </c>
      <c r="L34" s="813">
        <f t="shared" si="2"/>
        <v>1710440.37</v>
      </c>
      <c r="M34" s="813">
        <f t="shared" si="2"/>
        <v>1671584.47</v>
      </c>
      <c r="N34" s="813">
        <f t="shared" si="2"/>
        <v>1678220.79</v>
      </c>
    </row>
    <row r="35" spans="3:15" hidden="1" x14ac:dyDescent="0.2"/>
    <row r="36" spans="3:15" hidden="1" x14ac:dyDescent="0.2">
      <c r="C36" s="814">
        <v>1445775.3</v>
      </c>
      <c r="D36" s="814">
        <v>2205753.7400000002</v>
      </c>
      <c r="E36" s="814">
        <v>1516402.2</v>
      </c>
      <c r="F36" s="814">
        <v>1722537.64</v>
      </c>
      <c r="G36" s="814">
        <v>1641136.12</v>
      </c>
      <c r="H36" s="814">
        <v>1715735.07</v>
      </c>
      <c r="I36" s="814">
        <v>1743567.82</v>
      </c>
      <c r="J36" s="814">
        <v>1808863.59</v>
      </c>
      <c r="K36" s="814">
        <v>1749982.9</v>
      </c>
      <c r="L36" s="814">
        <v>1710440.37</v>
      </c>
      <c r="M36" s="814">
        <v>1671584.47</v>
      </c>
      <c r="N36" s="814">
        <v>1678220.79</v>
      </c>
      <c r="O36" s="814">
        <f>SUM(C36:N36)</f>
        <v>20610000.009999998</v>
      </c>
    </row>
  </sheetData>
  <mergeCells count="5">
    <mergeCell ref="A1:O1"/>
    <mergeCell ref="A2:O2"/>
    <mergeCell ref="A3:O3"/>
    <mergeCell ref="A4:O4"/>
    <mergeCell ref="A31:O31"/>
  </mergeCells>
  <printOptions horizontalCentered="1"/>
  <pageMargins left="0.39" right="0.74803149606299213" top="0.98425196850393704" bottom="0.98425196850393704" header="0" footer="0"/>
  <pageSetup paperSize="5" scale="8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pageSetUpPr fitToPage="1"/>
  </sheetPr>
  <dimension ref="A1:H32"/>
  <sheetViews>
    <sheetView workbookViewId="0">
      <selection activeCell="A3" sqref="A3:G3"/>
    </sheetView>
  </sheetViews>
  <sheetFormatPr baseColWidth="10" defaultRowHeight="15" x14ac:dyDescent="0.25"/>
  <cols>
    <col min="1" max="1" width="22.85546875" bestFit="1" customWidth="1"/>
    <col min="2" max="7" width="17" bestFit="1" customWidth="1"/>
  </cols>
  <sheetData>
    <row r="1" spans="1:8" x14ac:dyDescent="0.25">
      <c r="A1" s="977"/>
      <c r="B1" s="977"/>
      <c r="C1" s="977"/>
      <c r="D1" s="977"/>
      <c r="E1" s="977"/>
      <c r="F1" s="977"/>
      <c r="G1" s="977"/>
    </row>
    <row r="2" spans="1:8" x14ac:dyDescent="0.25">
      <c r="A2" s="105"/>
      <c r="B2" s="105"/>
      <c r="C2" s="105"/>
      <c r="D2" s="105"/>
      <c r="E2" s="105"/>
      <c r="F2" s="105"/>
      <c r="G2" s="105"/>
    </row>
    <row r="3" spans="1:8" x14ac:dyDescent="0.25">
      <c r="A3" s="977" t="s">
        <v>269</v>
      </c>
      <c r="B3" s="977"/>
      <c r="C3" s="977"/>
      <c r="D3" s="977"/>
      <c r="E3" s="977"/>
      <c r="F3" s="977"/>
      <c r="G3" s="977"/>
    </row>
    <row r="4" spans="1:8" x14ac:dyDescent="0.25">
      <c r="A4" s="105"/>
      <c r="B4" s="105"/>
      <c r="C4" s="105"/>
      <c r="D4" s="105"/>
      <c r="E4" s="105"/>
      <c r="F4" s="105"/>
      <c r="G4" s="105"/>
    </row>
    <row r="5" spans="1:8" x14ac:dyDescent="0.25">
      <c r="A5" s="977" t="s">
        <v>270</v>
      </c>
      <c r="B5" s="977"/>
      <c r="C5" s="977"/>
      <c r="D5" s="977"/>
      <c r="E5" s="977"/>
      <c r="F5" s="977"/>
      <c r="G5" s="977"/>
    </row>
    <row r="6" spans="1:8" ht="15.75" thickBot="1" x14ac:dyDescent="0.3"/>
    <row r="7" spans="1:8" x14ac:dyDescent="0.25">
      <c r="A7" s="1010" t="s">
        <v>236</v>
      </c>
      <c r="B7" s="1012">
        <v>2018</v>
      </c>
      <c r="C7" s="1013"/>
      <c r="D7" s="1014"/>
      <c r="E7" s="1012">
        <v>2019</v>
      </c>
      <c r="F7" s="1013"/>
      <c r="G7" s="1015"/>
      <c r="H7" s="216"/>
    </row>
    <row r="8" spans="1:8" ht="15.75" thickBot="1" x14ac:dyDescent="0.3">
      <c r="A8" s="1011"/>
      <c r="B8" s="195" t="s">
        <v>263</v>
      </c>
      <c r="C8" s="191" t="s">
        <v>271</v>
      </c>
      <c r="D8" s="191" t="s">
        <v>83</v>
      </c>
      <c r="E8" s="195" t="s">
        <v>263</v>
      </c>
      <c r="F8" s="191" t="s">
        <v>271</v>
      </c>
      <c r="G8" s="474" t="s">
        <v>83</v>
      </c>
      <c r="H8" s="149"/>
    </row>
    <row r="9" spans="1:8" x14ac:dyDescent="0.25">
      <c r="A9" s="464" t="s">
        <v>147</v>
      </c>
      <c r="B9" s="466">
        <v>3847011</v>
      </c>
      <c r="C9" s="466">
        <v>7359180</v>
      </c>
      <c r="D9" s="467">
        <f t="shared" ref="D9:D28" si="0">B9+C9</f>
        <v>11206191</v>
      </c>
      <c r="E9" s="468">
        <v>3943293</v>
      </c>
      <c r="F9" s="466">
        <v>7394639</v>
      </c>
      <c r="G9" s="467">
        <f t="shared" ref="G9:G28" si="1">E9+F9</f>
        <v>11337932</v>
      </c>
    </row>
    <row r="10" spans="1:8" x14ac:dyDescent="0.25">
      <c r="A10" s="469" t="s">
        <v>148</v>
      </c>
      <c r="B10" s="172">
        <v>2203748</v>
      </c>
      <c r="C10" s="172">
        <v>4292333</v>
      </c>
      <c r="D10" s="471">
        <f t="shared" si="0"/>
        <v>6496081</v>
      </c>
      <c r="E10" s="472">
        <v>2484812</v>
      </c>
      <c r="F10" s="172">
        <v>1991745</v>
      </c>
      <c r="G10" s="471">
        <f t="shared" si="1"/>
        <v>4476557</v>
      </c>
    </row>
    <row r="11" spans="1:8" x14ac:dyDescent="0.25">
      <c r="A11" s="469" t="s">
        <v>149</v>
      </c>
      <c r="B11" s="172">
        <v>2211427</v>
      </c>
      <c r="C11" s="172">
        <v>1095526</v>
      </c>
      <c r="D11" s="471">
        <f t="shared" si="0"/>
        <v>3306953</v>
      </c>
      <c r="E11" s="472">
        <v>1759056</v>
      </c>
      <c r="F11" s="172">
        <v>1291053</v>
      </c>
      <c r="G11" s="471">
        <f t="shared" si="1"/>
        <v>3050109</v>
      </c>
    </row>
    <row r="12" spans="1:8" x14ac:dyDescent="0.25">
      <c r="A12" s="469" t="s">
        <v>150</v>
      </c>
      <c r="B12" s="172">
        <v>170774917</v>
      </c>
      <c r="C12" s="172">
        <v>122745095</v>
      </c>
      <c r="D12" s="471">
        <f t="shared" si="0"/>
        <v>293520012</v>
      </c>
      <c r="E12" s="472">
        <v>189694088</v>
      </c>
      <c r="F12" s="172">
        <v>133955173</v>
      </c>
      <c r="G12" s="471">
        <f t="shared" si="1"/>
        <v>323649261</v>
      </c>
    </row>
    <row r="13" spans="1:8" x14ac:dyDescent="0.25">
      <c r="A13" s="469" t="s">
        <v>151</v>
      </c>
      <c r="B13" s="172">
        <v>15746604</v>
      </c>
      <c r="C13" s="172">
        <v>10379876</v>
      </c>
      <c r="D13" s="471">
        <f t="shared" si="0"/>
        <v>26126480</v>
      </c>
      <c r="E13" s="472">
        <v>49961238</v>
      </c>
      <c r="F13" s="172">
        <v>10048917</v>
      </c>
      <c r="G13" s="471">
        <f t="shared" si="1"/>
        <v>60010155</v>
      </c>
    </row>
    <row r="14" spans="1:8" x14ac:dyDescent="0.25">
      <c r="A14" s="469" t="s">
        <v>152</v>
      </c>
      <c r="B14" s="172">
        <v>33467</v>
      </c>
      <c r="C14" s="172">
        <v>82331</v>
      </c>
      <c r="D14" s="471">
        <f t="shared" si="0"/>
        <v>115798</v>
      </c>
      <c r="E14" s="472">
        <v>38654</v>
      </c>
      <c r="F14" s="172">
        <v>55623</v>
      </c>
      <c r="G14" s="471">
        <f t="shared" si="1"/>
        <v>94277</v>
      </c>
    </row>
    <row r="15" spans="1:8" x14ac:dyDescent="0.25">
      <c r="A15" s="469" t="s">
        <v>153</v>
      </c>
      <c r="B15" s="172">
        <v>13603</v>
      </c>
      <c r="C15" s="172">
        <v>78610</v>
      </c>
      <c r="D15" s="471">
        <f t="shared" si="0"/>
        <v>92213</v>
      </c>
      <c r="E15" s="472">
        <v>12474</v>
      </c>
      <c r="F15" s="172">
        <v>87109</v>
      </c>
      <c r="G15" s="471">
        <f t="shared" si="1"/>
        <v>99583</v>
      </c>
    </row>
    <row r="16" spans="1:8" x14ac:dyDescent="0.25">
      <c r="A16" s="469" t="s">
        <v>154</v>
      </c>
      <c r="B16" s="172">
        <v>5696258</v>
      </c>
      <c r="C16" s="172">
        <v>5984263</v>
      </c>
      <c r="D16" s="471">
        <f t="shared" si="0"/>
        <v>11680521</v>
      </c>
      <c r="E16" s="472">
        <v>4907652</v>
      </c>
      <c r="F16" s="172">
        <v>6976073</v>
      </c>
      <c r="G16" s="471">
        <f t="shared" si="1"/>
        <v>11883725</v>
      </c>
    </row>
    <row r="17" spans="1:8" x14ac:dyDescent="0.25">
      <c r="A17" s="469" t="s">
        <v>155</v>
      </c>
      <c r="B17" s="172">
        <v>2229122</v>
      </c>
      <c r="C17" s="172">
        <v>1191698</v>
      </c>
      <c r="D17" s="471">
        <f t="shared" si="0"/>
        <v>3420820</v>
      </c>
      <c r="E17" s="472">
        <v>1978012</v>
      </c>
      <c r="F17" s="172">
        <v>2312820</v>
      </c>
      <c r="G17" s="471">
        <f t="shared" si="1"/>
        <v>4290832</v>
      </c>
    </row>
    <row r="18" spans="1:8" x14ac:dyDescent="0.25">
      <c r="A18" s="469" t="s">
        <v>156</v>
      </c>
      <c r="B18" s="172">
        <v>2096161</v>
      </c>
      <c r="C18" s="172">
        <v>270627</v>
      </c>
      <c r="D18" s="471">
        <f t="shared" si="0"/>
        <v>2366788</v>
      </c>
      <c r="E18" s="472">
        <v>246157</v>
      </c>
      <c r="F18" s="172">
        <v>314911</v>
      </c>
      <c r="G18" s="471">
        <f t="shared" si="1"/>
        <v>561068</v>
      </c>
    </row>
    <row r="19" spans="1:8" x14ac:dyDescent="0.25">
      <c r="A19" s="469" t="s">
        <v>157</v>
      </c>
      <c r="B19" s="172">
        <v>1480024</v>
      </c>
      <c r="C19" s="172">
        <v>857904</v>
      </c>
      <c r="D19" s="471">
        <f t="shared" si="0"/>
        <v>2337928</v>
      </c>
      <c r="E19" s="472">
        <v>1605974</v>
      </c>
      <c r="F19" s="172">
        <v>916058</v>
      </c>
      <c r="G19" s="471">
        <f t="shared" si="1"/>
        <v>2522032</v>
      </c>
    </row>
    <row r="20" spans="1:8" x14ac:dyDescent="0.25">
      <c r="A20" s="469" t="s">
        <v>158</v>
      </c>
      <c r="B20" s="172">
        <v>532672</v>
      </c>
      <c r="C20" s="172">
        <v>2161785</v>
      </c>
      <c r="D20" s="471">
        <f t="shared" si="0"/>
        <v>2694457</v>
      </c>
      <c r="E20" s="472">
        <v>633445</v>
      </c>
      <c r="F20" s="172">
        <v>2790108</v>
      </c>
      <c r="G20" s="471">
        <f t="shared" si="1"/>
        <v>3423553</v>
      </c>
    </row>
    <row r="21" spans="1:8" x14ac:dyDescent="0.25">
      <c r="A21" s="469" t="s">
        <v>159</v>
      </c>
      <c r="B21" s="172">
        <v>4431219</v>
      </c>
      <c r="C21" s="172">
        <v>2234250</v>
      </c>
      <c r="D21" s="471">
        <f t="shared" si="0"/>
        <v>6665469</v>
      </c>
      <c r="E21" s="472">
        <v>3131776</v>
      </c>
      <c r="F21" s="172">
        <v>2077630</v>
      </c>
      <c r="G21" s="471">
        <f t="shared" si="1"/>
        <v>5209406</v>
      </c>
    </row>
    <row r="22" spans="1:8" x14ac:dyDescent="0.25">
      <c r="A22" s="469" t="s">
        <v>160</v>
      </c>
      <c r="B22" s="172">
        <v>1074974</v>
      </c>
      <c r="C22" s="172">
        <v>746412</v>
      </c>
      <c r="D22" s="471">
        <f t="shared" si="0"/>
        <v>1821386</v>
      </c>
      <c r="E22" s="472">
        <v>974991</v>
      </c>
      <c r="F22" s="172">
        <v>1113293</v>
      </c>
      <c r="G22" s="471">
        <f t="shared" si="1"/>
        <v>2088284</v>
      </c>
    </row>
    <row r="23" spans="1:8" x14ac:dyDescent="0.25">
      <c r="A23" s="469" t="s">
        <v>161</v>
      </c>
      <c r="B23" s="172">
        <v>2058103</v>
      </c>
      <c r="C23" s="172">
        <v>2519056</v>
      </c>
      <c r="D23" s="471">
        <f t="shared" si="0"/>
        <v>4577159</v>
      </c>
      <c r="E23" s="472">
        <v>1585547</v>
      </c>
      <c r="F23" s="172">
        <v>1235071</v>
      </c>
      <c r="G23" s="471">
        <f t="shared" si="1"/>
        <v>2820618</v>
      </c>
    </row>
    <row r="24" spans="1:8" x14ac:dyDescent="0.25">
      <c r="A24" s="469" t="s">
        <v>162</v>
      </c>
      <c r="B24" s="172">
        <v>4902160</v>
      </c>
      <c r="C24" s="172">
        <v>11312920</v>
      </c>
      <c r="D24" s="471">
        <f t="shared" si="0"/>
        <v>16215080</v>
      </c>
      <c r="E24" s="472">
        <v>3990729</v>
      </c>
      <c r="F24" s="172">
        <v>13853238</v>
      </c>
      <c r="G24" s="471">
        <f t="shared" si="1"/>
        <v>17843967</v>
      </c>
    </row>
    <row r="25" spans="1:8" x14ac:dyDescent="0.25">
      <c r="A25" s="469" t="s">
        <v>163</v>
      </c>
      <c r="B25" s="172">
        <v>2588653</v>
      </c>
      <c r="C25" s="172">
        <v>1751273</v>
      </c>
      <c r="D25" s="471">
        <f t="shared" si="0"/>
        <v>4339926</v>
      </c>
      <c r="E25" s="472">
        <v>2735517</v>
      </c>
      <c r="F25" s="172">
        <v>2148057</v>
      </c>
      <c r="G25" s="471">
        <f t="shared" si="1"/>
        <v>4883574</v>
      </c>
    </row>
    <row r="26" spans="1:8" x14ac:dyDescent="0.25">
      <c r="A26" s="469" t="s">
        <v>164</v>
      </c>
      <c r="B26" s="172">
        <v>68254405</v>
      </c>
      <c r="C26" s="172">
        <v>181485941</v>
      </c>
      <c r="D26" s="471">
        <f t="shared" si="0"/>
        <v>249740346</v>
      </c>
      <c r="E26" s="472">
        <v>79247757</v>
      </c>
      <c r="F26" s="172">
        <v>209317554</v>
      </c>
      <c r="G26" s="471">
        <f t="shared" si="1"/>
        <v>288565311</v>
      </c>
    </row>
    <row r="27" spans="1:8" x14ac:dyDescent="0.25">
      <c r="A27" s="469" t="s">
        <v>165</v>
      </c>
      <c r="B27" s="172">
        <v>1341794</v>
      </c>
      <c r="C27" s="172">
        <v>1265479</v>
      </c>
      <c r="D27" s="471">
        <f t="shared" si="0"/>
        <v>2607273</v>
      </c>
      <c r="E27" s="472">
        <v>1542123</v>
      </c>
      <c r="F27" s="172">
        <v>1574486</v>
      </c>
      <c r="G27" s="471">
        <f t="shared" si="1"/>
        <v>3116609</v>
      </c>
    </row>
    <row r="28" spans="1:8" ht="15.75" thickBot="1" x14ac:dyDescent="0.3">
      <c r="A28" s="473" t="s">
        <v>166</v>
      </c>
      <c r="B28" s="192">
        <v>10345095</v>
      </c>
      <c r="C28" s="192">
        <v>27454438</v>
      </c>
      <c r="D28" s="193">
        <f t="shared" si="0"/>
        <v>37799533</v>
      </c>
      <c r="E28" s="197">
        <v>11179656</v>
      </c>
      <c r="F28" s="192">
        <v>34510777</v>
      </c>
      <c r="G28" s="193">
        <f t="shared" si="1"/>
        <v>45690433</v>
      </c>
    </row>
    <row r="29" spans="1:8" ht="15.75" thickBot="1" x14ac:dyDescent="0.3">
      <c r="A29" s="194" t="s">
        <v>66</v>
      </c>
      <c r="B29" s="196">
        <f>SUM(B9:B28)</f>
        <v>301861417</v>
      </c>
      <c r="C29" s="192">
        <f t="shared" ref="C29" si="2">SUM(C9:C28)</f>
        <v>385268997</v>
      </c>
      <c r="D29" s="193">
        <f>SUM(D9:D28)</f>
        <v>687130414</v>
      </c>
      <c r="E29" s="197">
        <f>SUM(E9:E28)</f>
        <v>361652951</v>
      </c>
      <c r="F29" s="197">
        <f>SUM(F9:F28)</f>
        <v>433964335</v>
      </c>
      <c r="G29" s="193">
        <f>SUM(G9:G28)</f>
        <v>795617286</v>
      </c>
      <c r="H29" s="217"/>
    </row>
    <row r="32" spans="1:8" x14ac:dyDescent="0.25">
      <c r="C32" s="124"/>
    </row>
  </sheetData>
  <mergeCells count="6">
    <mergeCell ref="A7:A8"/>
    <mergeCell ref="B7:D7"/>
    <mergeCell ref="E7:G7"/>
    <mergeCell ref="A1:G1"/>
    <mergeCell ref="A3:G3"/>
    <mergeCell ref="A5:G5"/>
  </mergeCells>
  <printOptions horizontalCentered="1"/>
  <pageMargins left="0.70866141732283472" right="0.70866141732283472" top="0.74803149606299213" bottom="0.74803149606299213" header="0.31496062992125984" footer="0.31496062992125984"/>
  <pageSetup scale="97"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pageSetUpPr fitToPage="1"/>
  </sheetPr>
  <dimension ref="B1:D34"/>
  <sheetViews>
    <sheetView zoomScale="90" zoomScaleNormal="90" workbookViewId="0">
      <selection activeCell="B3" sqref="B3:C3"/>
    </sheetView>
  </sheetViews>
  <sheetFormatPr baseColWidth="10" defaultRowHeight="15" x14ac:dyDescent="0.25"/>
  <cols>
    <col min="1" max="1" width="3.5703125" customWidth="1"/>
    <col min="2" max="2" width="29" customWidth="1"/>
    <col min="3" max="3" width="30.5703125" customWidth="1"/>
  </cols>
  <sheetData>
    <row r="1" spans="2:4" x14ac:dyDescent="0.25">
      <c r="B1" s="977"/>
      <c r="C1" s="977"/>
    </row>
    <row r="2" spans="2:4" x14ac:dyDescent="0.25">
      <c r="B2" s="9"/>
      <c r="C2" s="9"/>
    </row>
    <row r="3" spans="2:4" x14ac:dyDescent="0.25">
      <c r="B3" s="840" t="s">
        <v>410</v>
      </c>
      <c r="C3" s="840"/>
    </row>
    <row r="4" spans="2:4" x14ac:dyDescent="0.25">
      <c r="B4" s="840"/>
      <c r="C4" s="840"/>
    </row>
    <row r="5" spans="2:4" ht="15.75" thickBot="1" x14ac:dyDescent="0.3">
      <c r="B5" s="13"/>
      <c r="C5" s="13"/>
    </row>
    <row r="6" spans="2:4" ht="15" customHeight="1" x14ac:dyDescent="0.25">
      <c r="B6" s="851" t="s">
        <v>84</v>
      </c>
      <c r="C6" s="1002" t="s">
        <v>409</v>
      </c>
    </row>
    <row r="7" spans="2:4" x14ac:dyDescent="0.25">
      <c r="B7" s="852"/>
      <c r="C7" s="1017"/>
    </row>
    <row r="8" spans="2:4" x14ac:dyDescent="0.25">
      <c r="B8" s="852"/>
      <c r="C8" s="1017"/>
    </row>
    <row r="9" spans="2:4" ht="15.75" thickBot="1" x14ac:dyDescent="0.3">
      <c r="B9" s="853"/>
      <c r="C9" s="1018"/>
    </row>
    <row r="10" spans="2:4" ht="24" customHeight="1" x14ac:dyDescent="0.25">
      <c r="B10" s="152" t="s">
        <v>46</v>
      </c>
      <c r="C10" s="475">
        <v>37232</v>
      </c>
      <c r="D10" s="79"/>
    </row>
    <row r="11" spans="2:4" ht="24" customHeight="1" x14ac:dyDescent="0.25">
      <c r="B11" s="152" t="s">
        <v>47</v>
      </c>
      <c r="C11" s="476">
        <v>15393</v>
      </c>
      <c r="D11" s="79"/>
    </row>
    <row r="12" spans="2:4" ht="24" customHeight="1" x14ac:dyDescent="0.25">
      <c r="B12" s="152" t="s">
        <v>48</v>
      </c>
      <c r="C12" s="463">
        <v>11536</v>
      </c>
      <c r="D12" s="79"/>
    </row>
    <row r="13" spans="2:4" ht="24" customHeight="1" x14ac:dyDescent="0.25">
      <c r="B13" s="152" t="s">
        <v>49</v>
      </c>
      <c r="C13" s="463">
        <v>187632</v>
      </c>
      <c r="D13" s="79"/>
    </row>
    <row r="14" spans="2:4" ht="24" customHeight="1" x14ac:dyDescent="0.25">
      <c r="B14" s="152" t="s">
        <v>50</v>
      </c>
      <c r="C14" s="463">
        <v>77436</v>
      </c>
      <c r="D14" s="79"/>
    </row>
    <row r="15" spans="2:4" ht="24" customHeight="1" x14ac:dyDescent="0.25">
      <c r="B15" s="152" t="s">
        <v>51</v>
      </c>
      <c r="C15" s="463">
        <v>47550</v>
      </c>
      <c r="D15" s="79"/>
    </row>
    <row r="16" spans="2:4" ht="24" customHeight="1" x14ac:dyDescent="0.25">
      <c r="B16" s="152" t="s">
        <v>52</v>
      </c>
      <c r="C16" s="463">
        <v>12230</v>
      </c>
      <c r="D16" s="79"/>
    </row>
    <row r="17" spans="2:4" ht="24" customHeight="1" x14ac:dyDescent="0.25">
      <c r="B17" s="152" t="s">
        <v>53</v>
      </c>
      <c r="C17" s="463">
        <v>29299</v>
      </c>
      <c r="D17" s="79"/>
    </row>
    <row r="18" spans="2:4" ht="24" customHeight="1" x14ac:dyDescent="0.25">
      <c r="B18" s="152" t="s">
        <v>54</v>
      </c>
      <c r="C18" s="463">
        <v>19321</v>
      </c>
      <c r="D18" s="79"/>
    </row>
    <row r="19" spans="2:4" ht="24" customHeight="1" x14ac:dyDescent="0.25">
      <c r="B19" s="152" t="s">
        <v>55</v>
      </c>
      <c r="C19" s="463">
        <v>13719</v>
      </c>
      <c r="D19" s="79"/>
    </row>
    <row r="20" spans="2:4" ht="24" customHeight="1" x14ac:dyDescent="0.25">
      <c r="B20" s="152" t="s">
        <v>56</v>
      </c>
      <c r="C20" s="463">
        <v>33567</v>
      </c>
      <c r="D20" s="79"/>
    </row>
    <row r="21" spans="2:4" ht="24" customHeight="1" x14ac:dyDescent="0.25">
      <c r="B21" s="152" t="s">
        <v>57</v>
      </c>
      <c r="C21" s="463">
        <v>24096</v>
      </c>
      <c r="D21" s="79"/>
    </row>
    <row r="22" spans="2:4" ht="24" customHeight="1" x14ac:dyDescent="0.25">
      <c r="B22" s="152" t="s">
        <v>58</v>
      </c>
      <c r="C22" s="463">
        <v>41518</v>
      </c>
      <c r="D22" s="79"/>
    </row>
    <row r="23" spans="2:4" ht="24" customHeight="1" x14ac:dyDescent="0.25">
      <c r="B23" s="152" t="s">
        <v>59</v>
      </c>
      <c r="C23" s="463">
        <v>7683</v>
      </c>
      <c r="D23" s="79"/>
    </row>
    <row r="24" spans="2:4" ht="24" customHeight="1" x14ac:dyDescent="0.25">
      <c r="B24" s="152" t="s">
        <v>60</v>
      </c>
      <c r="C24" s="463">
        <v>24911</v>
      </c>
      <c r="D24" s="79"/>
    </row>
    <row r="25" spans="2:4" ht="24" customHeight="1" x14ac:dyDescent="0.25">
      <c r="B25" s="152" t="s">
        <v>61</v>
      </c>
      <c r="C25" s="463">
        <v>93981</v>
      </c>
      <c r="D25" s="79"/>
    </row>
    <row r="26" spans="2:4" ht="24" customHeight="1" x14ac:dyDescent="0.25">
      <c r="B26" s="152" t="s">
        <v>62</v>
      </c>
      <c r="C26" s="463">
        <v>37135</v>
      </c>
      <c r="D26" s="79"/>
    </row>
    <row r="27" spans="2:4" ht="24" customHeight="1" x14ac:dyDescent="0.25">
      <c r="B27" s="152" t="s">
        <v>63</v>
      </c>
      <c r="C27" s="463">
        <v>425924</v>
      </c>
      <c r="D27" s="79"/>
    </row>
    <row r="28" spans="2:4" ht="24" customHeight="1" x14ac:dyDescent="0.25">
      <c r="B28" s="152" t="s">
        <v>64</v>
      </c>
      <c r="C28" s="463">
        <v>30064</v>
      </c>
      <c r="D28" s="79"/>
    </row>
    <row r="29" spans="2:4" ht="24" customHeight="1" thickBot="1" x14ac:dyDescent="0.3">
      <c r="B29" s="152" t="s">
        <v>65</v>
      </c>
      <c r="C29" s="463">
        <v>65229</v>
      </c>
      <c r="D29" s="79"/>
    </row>
    <row r="30" spans="2:4" ht="24" customHeight="1" thickBot="1" x14ac:dyDescent="0.3">
      <c r="B30" s="154" t="s">
        <v>66</v>
      </c>
      <c r="C30" s="477">
        <f>SUM(C10:C29)</f>
        <v>1235456</v>
      </c>
    </row>
    <row r="31" spans="2:4" x14ac:dyDescent="0.25">
      <c r="B31" s="9"/>
      <c r="C31" s="9"/>
    </row>
    <row r="32" spans="2:4" x14ac:dyDescent="0.25">
      <c r="B32" s="9" t="s">
        <v>170</v>
      </c>
      <c r="C32" s="9"/>
    </row>
    <row r="33" spans="2:3" x14ac:dyDescent="0.25">
      <c r="B33" s="1016" t="s">
        <v>411</v>
      </c>
      <c r="C33" s="1016"/>
    </row>
    <row r="34" spans="2:3" x14ac:dyDescent="0.25">
      <c r="B34" s="1016"/>
      <c r="C34" s="1016"/>
    </row>
  </sheetData>
  <mergeCells count="6">
    <mergeCell ref="B1:C1"/>
    <mergeCell ref="B33:C34"/>
    <mergeCell ref="B3:C3"/>
    <mergeCell ref="B4:C4"/>
    <mergeCell ref="B6:B9"/>
    <mergeCell ref="C6:C9"/>
  </mergeCells>
  <printOptions horizontalCentered="1"/>
  <pageMargins left="0.70866141732283472" right="0.70866141732283472" top="0.74803149606299213" bottom="0.74803149606299213" header="0.31496062992125984" footer="0.31496062992125984"/>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rgb="FFFFFF00"/>
  </sheetPr>
  <dimension ref="A1:Q36"/>
  <sheetViews>
    <sheetView workbookViewId="0">
      <selection activeCell="I12" sqref="I12:K12"/>
    </sheetView>
  </sheetViews>
  <sheetFormatPr baseColWidth="10" defaultRowHeight="15" x14ac:dyDescent="0.25"/>
  <cols>
    <col min="1" max="1" width="16.5703125" customWidth="1"/>
    <col min="2" max="2" width="9.28515625" hidden="1" customWidth="1"/>
    <col min="3" max="14" width="11.7109375" bestFit="1" customWidth="1"/>
    <col min="15" max="15" width="13" bestFit="1" customWidth="1"/>
    <col min="16" max="16" width="12.7109375" bestFit="1" customWidth="1"/>
  </cols>
  <sheetData>
    <row r="1" spans="1:17" ht="15.75" x14ac:dyDescent="0.25">
      <c r="A1" s="1019" t="s">
        <v>279</v>
      </c>
      <c r="B1" s="1019"/>
      <c r="C1" s="1019"/>
      <c r="D1" s="1019"/>
      <c r="E1" s="1019"/>
      <c r="F1" s="1019"/>
      <c r="G1" s="1019"/>
      <c r="H1" s="1019"/>
      <c r="I1" s="1019"/>
      <c r="J1" s="1019"/>
      <c r="K1" s="1019"/>
      <c r="L1" s="1019"/>
      <c r="M1" s="1019"/>
      <c r="N1" s="1019"/>
      <c r="O1" s="1019"/>
      <c r="P1" s="658"/>
      <c r="Q1" s="658"/>
    </row>
    <row r="2" spans="1:17" x14ac:dyDescent="0.25">
      <c r="A2" s="1020" t="s">
        <v>280</v>
      </c>
      <c r="B2" s="1020"/>
      <c r="C2" s="1020"/>
      <c r="D2" s="1020"/>
      <c r="E2" s="1020"/>
      <c r="F2" s="1020"/>
      <c r="G2" s="1020"/>
      <c r="H2" s="1020"/>
      <c r="I2" s="1020"/>
      <c r="J2" s="1020"/>
      <c r="K2" s="1020"/>
      <c r="L2" s="1020"/>
      <c r="M2" s="1020"/>
      <c r="N2" s="1020"/>
      <c r="O2" s="1020"/>
      <c r="P2" s="658"/>
      <c r="Q2" s="658"/>
    </row>
    <row r="3" spans="1:17" x14ac:dyDescent="0.25">
      <c r="A3" s="1020" t="s">
        <v>281</v>
      </c>
      <c r="B3" s="1020"/>
      <c r="C3" s="1020"/>
      <c r="D3" s="1020"/>
      <c r="E3" s="1020"/>
      <c r="F3" s="1020"/>
      <c r="G3" s="1020"/>
      <c r="H3" s="1020"/>
      <c r="I3" s="1020"/>
      <c r="J3" s="1020"/>
      <c r="K3" s="1020"/>
      <c r="L3" s="1020"/>
      <c r="M3" s="1020"/>
      <c r="N3" s="1020"/>
      <c r="O3" s="1020"/>
      <c r="P3" s="658"/>
      <c r="Q3" s="658"/>
    </row>
    <row r="4" spans="1:17" x14ac:dyDescent="0.25">
      <c r="A4" s="1021" t="s">
        <v>350</v>
      </c>
      <c r="B4" s="1021"/>
      <c r="C4" s="1021"/>
      <c r="D4" s="1021"/>
      <c r="E4" s="1021"/>
      <c r="F4" s="1021"/>
      <c r="G4" s="1021"/>
      <c r="H4" s="1021"/>
      <c r="I4" s="1021"/>
      <c r="J4" s="1021"/>
      <c r="K4" s="1021"/>
      <c r="L4" s="1021"/>
      <c r="M4" s="1021"/>
      <c r="N4" s="1021"/>
      <c r="O4" s="1021"/>
      <c r="P4" s="658"/>
      <c r="Q4" s="658"/>
    </row>
    <row r="5" spans="1:17" ht="15.75" thickBot="1" x14ac:dyDescent="0.3">
      <c r="A5" s="658"/>
      <c r="B5" s="658"/>
      <c r="C5" s="658"/>
      <c r="D5" s="658"/>
      <c r="E5" s="658"/>
      <c r="F5" s="658"/>
      <c r="G5" s="658"/>
      <c r="H5" s="658"/>
      <c r="I5" s="658"/>
      <c r="J5" s="658"/>
      <c r="K5" s="658"/>
      <c r="L5" s="658"/>
      <c r="M5" s="658"/>
      <c r="N5" s="658"/>
      <c r="O5" s="658"/>
      <c r="P5" s="658"/>
      <c r="Q5" s="658"/>
    </row>
    <row r="6" spans="1:17" ht="24" thickBot="1" x14ac:dyDescent="0.3">
      <c r="A6" s="659" t="s">
        <v>351</v>
      </c>
      <c r="B6" s="660" t="s">
        <v>283</v>
      </c>
      <c r="C6" s="659" t="s">
        <v>1</v>
      </c>
      <c r="D6" s="661" t="s">
        <v>2</v>
      </c>
      <c r="E6" s="659" t="s">
        <v>3</v>
      </c>
      <c r="F6" s="661" t="s">
        <v>4</v>
      </c>
      <c r="G6" s="659" t="s">
        <v>5</v>
      </c>
      <c r="H6" s="659" t="s">
        <v>6</v>
      </c>
      <c r="I6" s="659" t="s">
        <v>7</v>
      </c>
      <c r="J6" s="661" t="s">
        <v>8</v>
      </c>
      <c r="K6" s="659" t="s">
        <v>9</v>
      </c>
      <c r="L6" s="661" t="s">
        <v>10</v>
      </c>
      <c r="M6" s="659" t="s">
        <v>11</v>
      </c>
      <c r="N6" s="659" t="s">
        <v>12</v>
      </c>
      <c r="O6" s="662" t="s">
        <v>169</v>
      </c>
      <c r="P6" s="658"/>
      <c r="Q6" s="658"/>
    </row>
    <row r="7" spans="1:17" x14ac:dyDescent="0.25">
      <c r="A7" s="663" t="s">
        <v>284</v>
      </c>
      <c r="B7" s="664">
        <f>'[2]FGP simpl'!$C$16</f>
        <v>3.6636711021849497</v>
      </c>
      <c r="C7" s="665">
        <f t="shared" ref="C7:C26" si="0">$C$32*B7/100</f>
        <v>7321.4505632786977</v>
      </c>
      <c r="D7" s="665">
        <f t="shared" ref="D7:D26" si="1">$D$32*B7/100</f>
        <v>7321.4505632786977</v>
      </c>
      <c r="E7" s="665">
        <f t="shared" ref="E7:E26" si="2">$E$32*B7/100</f>
        <v>7321.4505632786977</v>
      </c>
      <c r="F7" s="665">
        <f t="shared" ref="F7:F26" si="3">$F$32*B7/100</f>
        <v>7321.4505632786977</v>
      </c>
      <c r="G7" s="665">
        <f t="shared" ref="G7:G26" si="4">$G$32*B7/100</f>
        <v>7321.4505632786977</v>
      </c>
      <c r="H7" s="665">
        <f t="shared" ref="H7:H26" si="5">$H$32*B7/100</f>
        <v>7321.4505632786977</v>
      </c>
      <c r="I7" s="665">
        <f t="shared" ref="I7:I26" si="6">$I$32*B7/100</f>
        <v>7321.4505632786977</v>
      </c>
      <c r="J7" s="665">
        <f t="shared" ref="J7:J26" si="7">$J$32*B7/100</f>
        <v>7321.4505632786977</v>
      </c>
      <c r="K7" s="665">
        <f t="shared" ref="K7:K26" si="8">$K$32*B7/100</f>
        <v>7321.4505632786977</v>
      </c>
      <c r="L7" s="665">
        <f t="shared" ref="L7:L26" si="9">$L$32*B7/100</f>
        <v>7321.4505632786977</v>
      </c>
      <c r="M7" s="665">
        <f t="shared" ref="M7:M26" si="10">$M$32*B7/100</f>
        <v>7321.4505632786977</v>
      </c>
      <c r="N7" s="665">
        <f t="shared" ref="N7:N26" si="11">$N$32*B7/100</f>
        <v>7321.4505632786977</v>
      </c>
      <c r="O7" s="666">
        <f>SUM(C7:N7)</f>
        <v>87857.406759344391</v>
      </c>
      <c r="P7" s="667"/>
      <c r="Q7" s="667"/>
    </row>
    <row r="8" spans="1:17" x14ac:dyDescent="0.25">
      <c r="A8" s="663" t="s">
        <v>148</v>
      </c>
      <c r="B8" s="664">
        <v>2.8774681766767136</v>
      </c>
      <c r="C8" s="665">
        <f t="shared" si="0"/>
        <v>5750.3090248418084</v>
      </c>
      <c r="D8" s="665">
        <f t="shared" si="1"/>
        <v>5750.3090248418084</v>
      </c>
      <c r="E8" s="665">
        <f t="shared" si="2"/>
        <v>5750.3090248418084</v>
      </c>
      <c r="F8" s="665">
        <f t="shared" si="3"/>
        <v>5750.3090248418084</v>
      </c>
      <c r="G8" s="665">
        <f t="shared" si="4"/>
        <v>5750.3090248418084</v>
      </c>
      <c r="H8" s="665">
        <f t="shared" si="5"/>
        <v>5750.3090248418084</v>
      </c>
      <c r="I8" s="665">
        <f t="shared" si="6"/>
        <v>5750.3090248418084</v>
      </c>
      <c r="J8" s="665">
        <f t="shared" si="7"/>
        <v>5750.3090248418084</v>
      </c>
      <c r="K8" s="665">
        <f t="shared" si="8"/>
        <v>5750.3090248418084</v>
      </c>
      <c r="L8" s="665">
        <f t="shared" si="9"/>
        <v>5750.3090248418084</v>
      </c>
      <c r="M8" s="665">
        <f t="shared" si="10"/>
        <v>5750.3090248418084</v>
      </c>
      <c r="N8" s="665">
        <f t="shared" si="11"/>
        <v>5750.3090248418084</v>
      </c>
      <c r="O8" s="666">
        <f t="shared" ref="O8:O26" si="12">SUM(C8:N8)</f>
        <v>69003.708298101701</v>
      </c>
      <c r="P8" s="667"/>
      <c r="Q8" s="658"/>
    </row>
    <row r="9" spans="1:17" x14ac:dyDescent="0.25">
      <c r="A9" s="663" t="s">
        <v>149</v>
      </c>
      <c r="B9" s="664">
        <v>4.7152682285520395</v>
      </c>
      <c r="C9" s="665">
        <f t="shared" si="0"/>
        <v>9422.9537163840378</v>
      </c>
      <c r="D9" s="665">
        <f t="shared" si="1"/>
        <v>9422.9537163840378</v>
      </c>
      <c r="E9" s="665">
        <f t="shared" si="2"/>
        <v>9422.9537163840378</v>
      </c>
      <c r="F9" s="665">
        <f t="shared" si="3"/>
        <v>9422.9537163840378</v>
      </c>
      <c r="G9" s="665">
        <f t="shared" si="4"/>
        <v>9422.9537163840378</v>
      </c>
      <c r="H9" s="665">
        <f t="shared" si="5"/>
        <v>9422.9537163840378</v>
      </c>
      <c r="I9" s="665">
        <f t="shared" si="6"/>
        <v>9422.9537163840378</v>
      </c>
      <c r="J9" s="665">
        <f t="shared" si="7"/>
        <v>9422.9537163840378</v>
      </c>
      <c r="K9" s="665">
        <f t="shared" si="8"/>
        <v>9422.9537163840378</v>
      </c>
      <c r="L9" s="665">
        <f t="shared" si="9"/>
        <v>9422.9537163840378</v>
      </c>
      <c r="M9" s="665">
        <f t="shared" si="10"/>
        <v>9422.9537163840378</v>
      </c>
      <c r="N9" s="665">
        <f t="shared" si="11"/>
        <v>9422.9537163840378</v>
      </c>
      <c r="O9" s="666">
        <f t="shared" si="12"/>
        <v>113075.44459660847</v>
      </c>
      <c r="P9" s="667"/>
      <c r="Q9" s="658"/>
    </row>
    <row r="10" spans="1:17" x14ac:dyDescent="0.25">
      <c r="A10" s="663" t="s">
        <v>285</v>
      </c>
      <c r="B10" s="664">
        <v>9.1392838894846484</v>
      </c>
      <c r="C10" s="665">
        <f t="shared" si="0"/>
        <v>18263.870668064515</v>
      </c>
      <c r="D10" s="665">
        <f t="shared" si="1"/>
        <v>18263.870668064515</v>
      </c>
      <c r="E10" s="665">
        <f t="shared" si="2"/>
        <v>18263.870668064515</v>
      </c>
      <c r="F10" s="665">
        <f t="shared" si="3"/>
        <v>18263.870668064515</v>
      </c>
      <c r="G10" s="665">
        <f t="shared" si="4"/>
        <v>18263.870668064515</v>
      </c>
      <c r="H10" s="665">
        <f t="shared" si="5"/>
        <v>18263.870668064515</v>
      </c>
      <c r="I10" s="665">
        <f t="shared" si="6"/>
        <v>18263.870668064515</v>
      </c>
      <c r="J10" s="665">
        <f t="shared" si="7"/>
        <v>18263.870668064515</v>
      </c>
      <c r="K10" s="665">
        <f t="shared" si="8"/>
        <v>18263.870668064515</v>
      </c>
      <c r="L10" s="665">
        <f t="shared" si="9"/>
        <v>18263.870668064515</v>
      </c>
      <c r="M10" s="665">
        <f t="shared" si="10"/>
        <v>18263.870668064515</v>
      </c>
      <c r="N10" s="665">
        <f t="shared" si="11"/>
        <v>18263.870668064515</v>
      </c>
      <c r="O10" s="666">
        <f t="shared" si="12"/>
        <v>219166.44801677417</v>
      </c>
      <c r="P10" s="667"/>
      <c r="Q10" s="658"/>
    </row>
    <row r="11" spans="1:17" x14ac:dyDescent="0.25">
      <c r="A11" s="663" t="s">
        <v>151</v>
      </c>
      <c r="B11" s="664">
        <v>5.3963653133391265</v>
      </c>
      <c r="C11" s="665">
        <f t="shared" si="0"/>
        <v>10784.052596708738</v>
      </c>
      <c r="D11" s="665">
        <f t="shared" si="1"/>
        <v>10784.052596708738</v>
      </c>
      <c r="E11" s="665">
        <f t="shared" si="2"/>
        <v>10784.052596708738</v>
      </c>
      <c r="F11" s="665">
        <f t="shared" si="3"/>
        <v>10784.052596708738</v>
      </c>
      <c r="G11" s="665">
        <f t="shared" si="4"/>
        <v>10784.052596708738</v>
      </c>
      <c r="H11" s="665">
        <f t="shared" si="5"/>
        <v>10784.052596708738</v>
      </c>
      <c r="I11" s="665">
        <f t="shared" si="6"/>
        <v>10784.052596708738</v>
      </c>
      <c r="J11" s="665">
        <f t="shared" si="7"/>
        <v>10784.052596708738</v>
      </c>
      <c r="K11" s="665">
        <f t="shared" si="8"/>
        <v>10784.052596708738</v>
      </c>
      <c r="L11" s="665">
        <f t="shared" si="9"/>
        <v>10784.052596708738</v>
      </c>
      <c r="M11" s="665">
        <f t="shared" si="10"/>
        <v>10784.052596708738</v>
      </c>
      <c r="N11" s="665">
        <f t="shared" si="11"/>
        <v>10784.052596708738</v>
      </c>
      <c r="O11" s="666">
        <f t="shared" si="12"/>
        <v>129408.63116050482</v>
      </c>
      <c r="P11" s="667"/>
      <c r="Q11" s="658"/>
    </row>
    <row r="12" spans="1:17" x14ac:dyDescent="0.25">
      <c r="A12" s="663" t="s">
        <v>286</v>
      </c>
      <c r="B12" s="664">
        <v>3.6295907588400458</v>
      </c>
      <c r="C12" s="665">
        <f t="shared" si="0"/>
        <v>7253.3446820410309</v>
      </c>
      <c r="D12" s="665">
        <f t="shared" si="1"/>
        <v>7253.3446820410309</v>
      </c>
      <c r="E12" s="665">
        <f t="shared" si="2"/>
        <v>7253.3446820410309</v>
      </c>
      <c r="F12" s="665">
        <f t="shared" si="3"/>
        <v>7253.3446820410309</v>
      </c>
      <c r="G12" s="665">
        <f t="shared" si="4"/>
        <v>7253.3446820410309</v>
      </c>
      <c r="H12" s="665">
        <f t="shared" si="5"/>
        <v>7253.3446820410309</v>
      </c>
      <c r="I12" s="665">
        <f t="shared" si="6"/>
        <v>7253.3446820410309</v>
      </c>
      <c r="J12" s="665">
        <f t="shared" si="7"/>
        <v>7253.3446820410309</v>
      </c>
      <c r="K12" s="665">
        <f t="shared" si="8"/>
        <v>7253.3446820410309</v>
      </c>
      <c r="L12" s="665">
        <f t="shared" si="9"/>
        <v>7253.3446820410309</v>
      </c>
      <c r="M12" s="665">
        <f t="shared" si="10"/>
        <v>7253.3446820410309</v>
      </c>
      <c r="N12" s="665">
        <f t="shared" si="11"/>
        <v>7253.3446820410309</v>
      </c>
      <c r="O12" s="666">
        <f t="shared" si="12"/>
        <v>87040.136184492367</v>
      </c>
      <c r="P12" s="667"/>
      <c r="Q12" s="658"/>
    </row>
    <row r="13" spans="1:17" x14ac:dyDescent="0.25">
      <c r="A13" s="663" t="s">
        <v>153</v>
      </c>
      <c r="B13" s="664">
        <v>4.0700473326514279</v>
      </c>
      <c r="C13" s="665">
        <f t="shared" si="0"/>
        <v>8133.5495204360341</v>
      </c>
      <c r="D13" s="665">
        <f t="shared" si="1"/>
        <v>8133.5495204360341</v>
      </c>
      <c r="E13" s="665">
        <f t="shared" si="2"/>
        <v>8133.5495204360341</v>
      </c>
      <c r="F13" s="665">
        <f t="shared" si="3"/>
        <v>8133.5495204360341</v>
      </c>
      <c r="G13" s="665">
        <f t="shared" si="4"/>
        <v>8133.5495204360341</v>
      </c>
      <c r="H13" s="665">
        <f t="shared" si="5"/>
        <v>8133.5495204360341</v>
      </c>
      <c r="I13" s="665">
        <f t="shared" si="6"/>
        <v>8133.5495204360341</v>
      </c>
      <c r="J13" s="665">
        <f t="shared" si="7"/>
        <v>8133.5495204360341</v>
      </c>
      <c r="K13" s="665">
        <f t="shared" si="8"/>
        <v>8133.5495204360341</v>
      </c>
      <c r="L13" s="665">
        <f t="shared" si="9"/>
        <v>8133.5495204360341</v>
      </c>
      <c r="M13" s="665">
        <f t="shared" si="10"/>
        <v>8133.5495204360341</v>
      </c>
      <c r="N13" s="665">
        <f t="shared" si="11"/>
        <v>8133.5495204360341</v>
      </c>
      <c r="O13" s="666">
        <f t="shared" si="12"/>
        <v>97602.594245232409</v>
      </c>
      <c r="P13" s="667"/>
      <c r="Q13" s="658"/>
    </row>
    <row r="14" spans="1:17" x14ac:dyDescent="0.25">
      <c r="A14" s="663" t="s">
        <v>154</v>
      </c>
      <c r="B14" s="664">
        <v>3.2056447774490451</v>
      </c>
      <c r="C14" s="665">
        <f t="shared" si="0"/>
        <v>6406.1344773903538</v>
      </c>
      <c r="D14" s="665">
        <f t="shared" si="1"/>
        <v>6406.1344773903538</v>
      </c>
      <c r="E14" s="665">
        <f t="shared" si="2"/>
        <v>6406.1344773903538</v>
      </c>
      <c r="F14" s="665">
        <f t="shared" si="3"/>
        <v>6406.1344773903538</v>
      </c>
      <c r="G14" s="665">
        <f t="shared" si="4"/>
        <v>6406.1344773903538</v>
      </c>
      <c r="H14" s="665">
        <f t="shared" si="5"/>
        <v>6406.1344773903538</v>
      </c>
      <c r="I14" s="665">
        <f t="shared" si="6"/>
        <v>6406.1344773903538</v>
      </c>
      <c r="J14" s="665">
        <f t="shared" si="7"/>
        <v>6406.1344773903538</v>
      </c>
      <c r="K14" s="665">
        <f t="shared" si="8"/>
        <v>6406.1344773903538</v>
      </c>
      <c r="L14" s="665">
        <f t="shared" si="9"/>
        <v>6406.1344773903538</v>
      </c>
      <c r="M14" s="665">
        <f t="shared" si="10"/>
        <v>6406.1344773903538</v>
      </c>
      <c r="N14" s="665">
        <f t="shared" si="11"/>
        <v>6406.1344773903538</v>
      </c>
      <c r="O14" s="666">
        <f t="shared" si="12"/>
        <v>76873.613728684242</v>
      </c>
      <c r="P14" s="667"/>
      <c r="Q14" s="658"/>
    </row>
    <row r="15" spans="1:17" x14ac:dyDescent="0.25">
      <c r="A15" s="663" t="s">
        <v>155</v>
      </c>
      <c r="B15" s="664">
        <v>3.1677886526185874</v>
      </c>
      <c r="C15" s="665">
        <f t="shared" si="0"/>
        <v>6330.4831051101819</v>
      </c>
      <c r="D15" s="665">
        <f t="shared" si="1"/>
        <v>6330.4831051101819</v>
      </c>
      <c r="E15" s="665">
        <f t="shared" si="2"/>
        <v>6330.4831051101819</v>
      </c>
      <c r="F15" s="665">
        <f t="shared" si="3"/>
        <v>6330.4831051101819</v>
      </c>
      <c r="G15" s="665">
        <f t="shared" si="4"/>
        <v>6330.4831051101819</v>
      </c>
      <c r="H15" s="665">
        <f t="shared" si="5"/>
        <v>6330.4831051101819</v>
      </c>
      <c r="I15" s="665">
        <f t="shared" si="6"/>
        <v>6330.4831051101819</v>
      </c>
      <c r="J15" s="665">
        <f t="shared" si="7"/>
        <v>6330.4831051101819</v>
      </c>
      <c r="K15" s="665">
        <f t="shared" si="8"/>
        <v>6330.4831051101819</v>
      </c>
      <c r="L15" s="665">
        <f t="shared" si="9"/>
        <v>6330.4831051101819</v>
      </c>
      <c r="M15" s="665">
        <f t="shared" si="10"/>
        <v>6330.4831051101819</v>
      </c>
      <c r="N15" s="665">
        <f t="shared" si="11"/>
        <v>6330.4831051101819</v>
      </c>
      <c r="O15" s="666">
        <f t="shared" si="12"/>
        <v>75965.797261322165</v>
      </c>
      <c r="P15" s="667"/>
      <c r="Q15" s="658"/>
    </row>
    <row r="16" spans="1:17" x14ac:dyDescent="0.25">
      <c r="A16" s="663" t="s">
        <v>156</v>
      </c>
      <c r="B16" s="664">
        <v>2.8145431996763457</v>
      </c>
      <c r="C16" s="665">
        <f t="shared" si="0"/>
        <v>5624.5602620697118</v>
      </c>
      <c r="D16" s="665">
        <f t="shared" si="1"/>
        <v>5624.5602620697118</v>
      </c>
      <c r="E16" s="665">
        <f t="shared" si="2"/>
        <v>5624.5602620697118</v>
      </c>
      <c r="F16" s="665">
        <f t="shared" si="3"/>
        <v>5624.5602620697118</v>
      </c>
      <c r="G16" s="665">
        <f t="shared" si="4"/>
        <v>5624.5602620697118</v>
      </c>
      <c r="H16" s="665">
        <f t="shared" si="5"/>
        <v>5624.5602620697118</v>
      </c>
      <c r="I16" s="665">
        <f t="shared" si="6"/>
        <v>5624.5602620697118</v>
      </c>
      <c r="J16" s="665">
        <f t="shared" si="7"/>
        <v>5624.5602620697118</v>
      </c>
      <c r="K16" s="665">
        <f t="shared" si="8"/>
        <v>5624.5602620697118</v>
      </c>
      <c r="L16" s="665">
        <f t="shared" si="9"/>
        <v>5624.5602620697118</v>
      </c>
      <c r="M16" s="665">
        <f t="shared" si="10"/>
        <v>5624.5602620697118</v>
      </c>
      <c r="N16" s="665">
        <f t="shared" si="11"/>
        <v>5624.5602620697118</v>
      </c>
      <c r="O16" s="666">
        <f t="shared" si="12"/>
        <v>67494.723144836535</v>
      </c>
      <c r="P16" s="667"/>
      <c r="Q16" s="658"/>
    </row>
    <row r="17" spans="1:16" x14ac:dyDescent="0.25">
      <c r="A17" s="663" t="s">
        <v>157</v>
      </c>
      <c r="B17" s="664">
        <v>3.814501471077032</v>
      </c>
      <c r="C17" s="665">
        <f t="shared" si="0"/>
        <v>7622.868746975887</v>
      </c>
      <c r="D17" s="665">
        <f t="shared" si="1"/>
        <v>7622.868746975887</v>
      </c>
      <c r="E17" s="665">
        <f t="shared" si="2"/>
        <v>7622.868746975887</v>
      </c>
      <c r="F17" s="665">
        <f t="shared" si="3"/>
        <v>7622.868746975887</v>
      </c>
      <c r="G17" s="665">
        <f t="shared" si="4"/>
        <v>7622.868746975887</v>
      </c>
      <c r="H17" s="665">
        <f t="shared" si="5"/>
        <v>7622.868746975887</v>
      </c>
      <c r="I17" s="665">
        <f t="shared" si="6"/>
        <v>7622.868746975887</v>
      </c>
      <c r="J17" s="665">
        <f t="shared" si="7"/>
        <v>7622.868746975887</v>
      </c>
      <c r="K17" s="665">
        <f t="shared" si="8"/>
        <v>7622.868746975887</v>
      </c>
      <c r="L17" s="665">
        <f t="shared" si="9"/>
        <v>7622.868746975887</v>
      </c>
      <c r="M17" s="665">
        <f t="shared" si="10"/>
        <v>7622.868746975887</v>
      </c>
      <c r="N17" s="665">
        <f t="shared" si="11"/>
        <v>7622.868746975887</v>
      </c>
      <c r="O17" s="666">
        <f t="shared" si="12"/>
        <v>91474.42496371064</v>
      </c>
      <c r="P17" s="667"/>
    </row>
    <row r="18" spans="1:16" x14ac:dyDescent="0.25">
      <c r="A18" s="663" t="s">
        <v>158</v>
      </c>
      <c r="B18" s="664">
        <v>3.0792318274418586</v>
      </c>
      <c r="C18" s="665">
        <f t="shared" si="0"/>
        <v>6153.5118652012115</v>
      </c>
      <c r="D18" s="665">
        <f t="shared" si="1"/>
        <v>6153.5118652012115</v>
      </c>
      <c r="E18" s="665">
        <f t="shared" si="2"/>
        <v>6153.5118652012115</v>
      </c>
      <c r="F18" s="665">
        <f t="shared" si="3"/>
        <v>6153.5118652012115</v>
      </c>
      <c r="G18" s="665">
        <f t="shared" si="4"/>
        <v>6153.5118652012115</v>
      </c>
      <c r="H18" s="665">
        <f t="shared" si="5"/>
        <v>6153.5118652012115</v>
      </c>
      <c r="I18" s="665">
        <f t="shared" si="6"/>
        <v>6153.5118652012115</v>
      </c>
      <c r="J18" s="665">
        <f t="shared" si="7"/>
        <v>6153.5118652012115</v>
      </c>
      <c r="K18" s="665">
        <f t="shared" si="8"/>
        <v>6153.5118652012115</v>
      </c>
      <c r="L18" s="665">
        <f t="shared" si="9"/>
        <v>6153.5118652012115</v>
      </c>
      <c r="M18" s="665">
        <f t="shared" si="10"/>
        <v>6153.5118652012115</v>
      </c>
      <c r="N18" s="665">
        <f t="shared" si="11"/>
        <v>6153.5118652012115</v>
      </c>
      <c r="O18" s="666">
        <f t="shared" si="12"/>
        <v>73842.142382414531</v>
      </c>
      <c r="P18" s="667"/>
    </row>
    <row r="19" spans="1:16" x14ac:dyDescent="0.25">
      <c r="A19" s="663" t="s">
        <v>159</v>
      </c>
      <c r="B19" s="664">
        <v>3.9687689066587866</v>
      </c>
      <c r="C19" s="665">
        <f t="shared" si="0"/>
        <v>7931.1555368195513</v>
      </c>
      <c r="D19" s="665">
        <f t="shared" si="1"/>
        <v>7931.1555368195513</v>
      </c>
      <c r="E19" s="665">
        <f t="shared" si="2"/>
        <v>7931.1555368195513</v>
      </c>
      <c r="F19" s="665">
        <f t="shared" si="3"/>
        <v>7931.1555368195513</v>
      </c>
      <c r="G19" s="665">
        <f t="shared" si="4"/>
        <v>7931.1555368195513</v>
      </c>
      <c r="H19" s="665">
        <f t="shared" si="5"/>
        <v>7931.1555368195513</v>
      </c>
      <c r="I19" s="665">
        <f t="shared" si="6"/>
        <v>7931.1555368195513</v>
      </c>
      <c r="J19" s="665">
        <f t="shared" si="7"/>
        <v>7931.1555368195513</v>
      </c>
      <c r="K19" s="665">
        <f t="shared" si="8"/>
        <v>7931.1555368195513</v>
      </c>
      <c r="L19" s="665">
        <f t="shared" si="9"/>
        <v>7931.1555368195513</v>
      </c>
      <c r="M19" s="665">
        <f t="shared" si="10"/>
        <v>7931.1555368195513</v>
      </c>
      <c r="N19" s="665">
        <f t="shared" si="11"/>
        <v>7931.1555368195513</v>
      </c>
      <c r="O19" s="666">
        <f t="shared" si="12"/>
        <v>95173.866441834645</v>
      </c>
      <c r="P19" s="667"/>
    </row>
    <row r="20" spans="1:16" x14ac:dyDescent="0.25">
      <c r="A20" s="663" t="s">
        <v>287</v>
      </c>
      <c r="B20" s="664">
        <v>2.5568285677800717</v>
      </c>
      <c r="C20" s="665">
        <f t="shared" si="0"/>
        <v>5109.5454356195814</v>
      </c>
      <c r="D20" s="665">
        <f t="shared" si="1"/>
        <v>5109.5454356195814</v>
      </c>
      <c r="E20" s="665">
        <f t="shared" si="2"/>
        <v>5109.5454356195814</v>
      </c>
      <c r="F20" s="665">
        <f t="shared" si="3"/>
        <v>5109.5454356195814</v>
      </c>
      <c r="G20" s="665">
        <f t="shared" si="4"/>
        <v>5109.5454356195814</v>
      </c>
      <c r="H20" s="665">
        <f t="shared" si="5"/>
        <v>5109.5454356195814</v>
      </c>
      <c r="I20" s="665">
        <f t="shared" si="6"/>
        <v>5109.5454356195814</v>
      </c>
      <c r="J20" s="665">
        <f t="shared" si="7"/>
        <v>5109.5454356195814</v>
      </c>
      <c r="K20" s="665">
        <f t="shared" si="8"/>
        <v>5109.5454356195814</v>
      </c>
      <c r="L20" s="665">
        <f t="shared" si="9"/>
        <v>5109.5454356195814</v>
      </c>
      <c r="M20" s="665">
        <f t="shared" si="10"/>
        <v>5109.5454356195814</v>
      </c>
      <c r="N20" s="665">
        <f t="shared" si="11"/>
        <v>5109.5454356195814</v>
      </c>
      <c r="O20" s="666">
        <f t="shared" si="12"/>
        <v>61314.545227434988</v>
      </c>
      <c r="P20" s="667"/>
    </row>
    <row r="21" spans="1:16" x14ac:dyDescent="0.25">
      <c r="A21" s="663" t="s">
        <v>288</v>
      </c>
      <c r="B21" s="664">
        <v>3.0448340829893383</v>
      </c>
      <c r="C21" s="665">
        <f t="shared" si="0"/>
        <v>6084.7716921689689</v>
      </c>
      <c r="D21" s="665">
        <f t="shared" si="1"/>
        <v>6084.7716921689689</v>
      </c>
      <c r="E21" s="665">
        <f t="shared" si="2"/>
        <v>6084.7716921689689</v>
      </c>
      <c r="F21" s="665">
        <f t="shared" si="3"/>
        <v>6084.7716921689689</v>
      </c>
      <c r="G21" s="665">
        <f t="shared" si="4"/>
        <v>6084.7716921689689</v>
      </c>
      <c r="H21" s="665">
        <f t="shared" si="5"/>
        <v>6084.7716921689689</v>
      </c>
      <c r="I21" s="665">
        <f t="shared" si="6"/>
        <v>6084.7716921689689</v>
      </c>
      <c r="J21" s="665">
        <f t="shared" si="7"/>
        <v>6084.7716921689689</v>
      </c>
      <c r="K21" s="665">
        <f t="shared" si="8"/>
        <v>6084.7716921689689</v>
      </c>
      <c r="L21" s="665">
        <f t="shared" si="9"/>
        <v>6084.7716921689689</v>
      </c>
      <c r="M21" s="665">
        <f t="shared" si="10"/>
        <v>6084.7716921689689</v>
      </c>
      <c r="N21" s="665">
        <f t="shared" si="11"/>
        <v>6084.7716921689689</v>
      </c>
      <c r="O21" s="666">
        <f t="shared" si="12"/>
        <v>73017.260306027645</v>
      </c>
      <c r="P21" s="667"/>
    </row>
    <row r="22" spans="1:16" x14ac:dyDescent="0.25">
      <c r="A22" s="663" t="s">
        <v>289</v>
      </c>
      <c r="B22" s="664">
        <v>6.4580166897572191</v>
      </c>
      <c r="C22" s="665">
        <f t="shared" si="0"/>
        <v>12905.648081425221</v>
      </c>
      <c r="D22" s="665">
        <f t="shared" si="1"/>
        <v>12905.648081425221</v>
      </c>
      <c r="E22" s="665">
        <f t="shared" si="2"/>
        <v>12905.648081425221</v>
      </c>
      <c r="F22" s="665">
        <f t="shared" si="3"/>
        <v>12905.648081425221</v>
      </c>
      <c r="G22" s="665">
        <f t="shared" si="4"/>
        <v>12905.648081425221</v>
      </c>
      <c r="H22" s="665">
        <f t="shared" si="5"/>
        <v>12905.648081425221</v>
      </c>
      <c r="I22" s="665">
        <f t="shared" si="6"/>
        <v>12905.648081425221</v>
      </c>
      <c r="J22" s="665">
        <f t="shared" si="7"/>
        <v>12905.648081425221</v>
      </c>
      <c r="K22" s="665">
        <f t="shared" si="8"/>
        <v>12905.648081425221</v>
      </c>
      <c r="L22" s="665">
        <f t="shared" si="9"/>
        <v>12905.648081425221</v>
      </c>
      <c r="M22" s="665">
        <f t="shared" si="10"/>
        <v>12905.648081425221</v>
      </c>
      <c r="N22" s="665">
        <f t="shared" si="11"/>
        <v>12905.648081425221</v>
      </c>
      <c r="O22" s="666">
        <f t="shared" si="12"/>
        <v>154867.77697710268</v>
      </c>
      <c r="P22" s="667"/>
    </row>
    <row r="23" spans="1:16" x14ac:dyDescent="0.25">
      <c r="A23" s="663" t="s">
        <v>163</v>
      </c>
      <c r="B23" s="664">
        <v>3.6739352083662298</v>
      </c>
      <c r="C23" s="665">
        <f t="shared" si="0"/>
        <v>7341.962269675505</v>
      </c>
      <c r="D23" s="665">
        <f t="shared" si="1"/>
        <v>7341.962269675505</v>
      </c>
      <c r="E23" s="665">
        <f t="shared" si="2"/>
        <v>7341.962269675505</v>
      </c>
      <c r="F23" s="665">
        <f t="shared" si="3"/>
        <v>7341.962269675505</v>
      </c>
      <c r="G23" s="665">
        <f t="shared" si="4"/>
        <v>7341.962269675505</v>
      </c>
      <c r="H23" s="665">
        <f t="shared" si="5"/>
        <v>7341.962269675505</v>
      </c>
      <c r="I23" s="665">
        <f t="shared" si="6"/>
        <v>7341.962269675505</v>
      </c>
      <c r="J23" s="665">
        <f t="shared" si="7"/>
        <v>7341.962269675505</v>
      </c>
      <c r="K23" s="665">
        <f t="shared" si="8"/>
        <v>7341.962269675505</v>
      </c>
      <c r="L23" s="665">
        <f t="shared" si="9"/>
        <v>7341.962269675505</v>
      </c>
      <c r="M23" s="665">
        <f t="shared" si="10"/>
        <v>7341.962269675505</v>
      </c>
      <c r="N23" s="665">
        <f t="shared" si="11"/>
        <v>7341.962269675505</v>
      </c>
      <c r="O23" s="666">
        <f t="shared" si="12"/>
        <v>88103.547236106067</v>
      </c>
      <c r="P23" s="667"/>
    </row>
    <row r="24" spans="1:16" x14ac:dyDescent="0.25">
      <c r="A24" s="663" t="s">
        <v>164</v>
      </c>
      <c r="B24" s="664">
        <v>21.979340072457017</v>
      </c>
      <c r="C24" s="665">
        <f t="shared" si="0"/>
        <v>43923.33461866001</v>
      </c>
      <c r="D24" s="665">
        <f t="shared" si="1"/>
        <v>43923.33461866001</v>
      </c>
      <c r="E24" s="665">
        <f t="shared" si="2"/>
        <v>43923.33461866001</v>
      </c>
      <c r="F24" s="665">
        <f t="shared" si="3"/>
        <v>43923.33461866001</v>
      </c>
      <c r="G24" s="665">
        <f t="shared" si="4"/>
        <v>43923.33461866001</v>
      </c>
      <c r="H24" s="665">
        <f t="shared" si="5"/>
        <v>43923.33461866001</v>
      </c>
      <c r="I24" s="665">
        <f t="shared" si="6"/>
        <v>43923.33461866001</v>
      </c>
      <c r="J24" s="665">
        <f t="shared" si="7"/>
        <v>43923.33461866001</v>
      </c>
      <c r="K24" s="665">
        <f t="shared" si="8"/>
        <v>43923.33461866001</v>
      </c>
      <c r="L24" s="665">
        <f t="shared" si="9"/>
        <v>43923.33461866001</v>
      </c>
      <c r="M24" s="665">
        <f t="shared" si="10"/>
        <v>43923.33461866001</v>
      </c>
      <c r="N24" s="665">
        <f t="shared" si="11"/>
        <v>43923.33461866001</v>
      </c>
      <c r="O24" s="666">
        <f t="shared" si="12"/>
        <v>527080.01542392024</v>
      </c>
      <c r="P24" s="667"/>
    </row>
    <row r="25" spans="1:16" x14ac:dyDescent="0.25">
      <c r="A25" s="663" t="s">
        <v>165</v>
      </c>
      <c r="B25" s="664">
        <v>3.7144952969630278</v>
      </c>
      <c r="C25" s="665">
        <f t="shared" si="0"/>
        <v>7423.0172211766258</v>
      </c>
      <c r="D25" s="665">
        <f t="shared" si="1"/>
        <v>7423.0172211766258</v>
      </c>
      <c r="E25" s="665">
        <f t="shared" si="2"/>
        <v>7423.0172211766258</v>
      </c>
      <c r="F25" s="665">
        <f t="shared" si="3"/>
        <v>7423.0172211766258</v>
      </c>
      <c r="G25" s="665">
        <f t="shared" si="4"/>
        <v>7423.0172211766258</v>
      </c>
      <c r="H25" s="665">
        <f t="shared" si="5"/>
        <v>7423.0172211766258</v>
      </c>
      <c r="I25" s="665">
        <f t="shared" si="6"/>
        <v>7423.0172211766258</v>
      </c>
      <c r="J25" s="665">
        <f t="shared" si="7"/>
        <v>7423.0172211766258</v>
      </c>
      <c r="K25" s="665">
        <f t="shared" si="8"/>
        <v>7423.0172211766258</v>
      </c>
      <c r="L25" s="665">
        <f t="shared" si="9"/>
        <v>7423.0172211766258</v>
      </c>
      <c r="M25" s="665">
        <f t="shared" si="10"/>
        <v>7423.0172211766258</v>
      </c>
      <c r="N25" s="665">
        <f t="shared" si="11"/>
        <v>7423.0172211766258</v>
      </c>
      <c r="O25" s="666">
        <f t="shared" si="12"/>
        <v>89076.20665411948</v>
      </c>
      <c r="P25" s="667"/>
    </row>
    <row r="26" spans="1:16" ht="15.75" thickBot="1" x14ac:dyDescent="0.3">
      <c r="A26" s="663" t="s">
        <v>166</v>
      </c>
      <c r="B26" s="664">
        <v>5.0303764450364916</v>
      </c>
      <c r="C26" s="665">
        <f t="shared" si="0"/>
        <v>10052.663415952307</v>
      </c>
      <c r="D26" s="665">
        <f t="shared" si="1"/>
        <v>10052.663415952307</v>
      </c>
      <c r="E26" s="665">
        <f t="shared" si="2"/>
        <v>10052.663415952307</v>
      </c>
      <c r="F26" s="665">
        <f t="shared" si="3"/>
        <v>10052.663415952307</v>
      </c>
      <c r="G26" s="665">
        <f t="shared" si="4"/>
        <v>10052.663415952307</v>
      </c>
      <c r="H26" s="665">
        <f t="shared" si="5"/>
        <v>10052.663415952307</v>
      </c>
      <c r="I26" s="665">
        <f t="shared" si="6"/>
        <v>10052.663415952307</v>
      </c>
      <c r="J26" s="665">
        <f t="shared" si="7"/>
        <v>10052.663415952307</v>
      </c>
      <c r="K26" s="665">
        <f t="shared" si="8"/>
        <v>10052.663415952307</v>
      </c>
      <c r="L26" s="665">
        <f t="shared" si="9"/>
        <v>10052.663415952307</v>
      </c>
      <c r="M26" s="665">
        <f t="shared" si="10"/>
        <v>10052.663415952307</v>
      </c>
      <c r="N26" s="665">
        <f t="shared" si="11"/>
        <v>10052.663415952307</v>
      </c>
      <c r="O26" s="666">
        <f t="shared" si="12"/>
        <v>120631.9609914277</v>
      </c>
      <c r="P26" s="667"/>
    </row>
    <row r="27" spans="1:16" ht="15.75" thickBot="1" x14ac:dyDescent="0.3">
      <c r="A27" s="668" t="s">
        <v>290</v>
      </c>
      <c r="B27" s="669">
        <f>SUM(B7:B26)</f>
        <v>100</v>
      </c>
      <c r="C27" s="670">
        <f>SUM(C7:C26)</f>
        <v>199839.18749999997</v>
      </c>
      <c r="D27" s="670">
        <f t="shared" ref="D27:N27" si="13">SUM(D7:D26)</f>
        <v>199839.18749999997</v>
      </c>
      <c r="E27" s="670">
        <f t="shared" si="13"/>
        <v>199839.18749999997</v>
      </c>
      <c r="F27" s="670">
        <f t="shared" si="13"/>
        <v>199839.18749999997</v>
      </c>
      <c r="G27" s="670">
        <f t="shared" si="13"/>
        <v>199839.18749999997</v>
      </c>
      <c r="H27" s="670">
        <f t="shared" si="13"/>
        <v>199839.18749999997</v>
      </c>
      <c r="I27" s="670">
        <f t="shared" si="13"/>
        <v>199839.18749999997</v>
      </c>
      <c r="J27" s="670">
        <f t="shared" si="13"/>
        <v>199839.18749999997</v>
      </c>
      <c r="K27" s="670">
        <f t="shared" si="13"/>
        <v>199839.18749999997</v>
      </c>
      <c r="L27" s="670">
        <f t="shared" si="13"/>
        <v>199839.18749999997</v>
      </c>
      <c r="M27" s="670">
        <f t="shared" si="13"/>
        <v>199839.18749999997</v>
      </c>
      <c r="N27" s="670">
        <f t="shared" si="13"/>
        <v>199839.18749999997</v>
      </c>
      <c r="O27" s="670">
        <f>SUM(C27:N27)</f>
        <v>2398070.2499999995</v>
      </c>
      <c r="P27" s="658"/>
    </row>
    <row r="28" spans="1:16" x14ac:dyDescent="0.25">
      <c r="A28" s="671"/>
      <c r="B28" s="671"/>
      <c r="C28" s="671"/>
      <c r="D28" s="671"/>
      <c r="E28" s="671"/>
      <c r="F28" s="671"/>
      <c r="G28" s="671"/>
      <c r="H28" s="671"/>
      <c r="I28" s="671"/>
      <c r="J28" s="671"/>
      <c r="K28" s="671"/>
      <c r="L28" s="671"/>
      <c r="M28" s="671"/>
      <c r="N28" s="671"/>
      <c r="O28" s="671"/>
      <c r="P28" s="658"/>
    </row>
    <row r="29" spans="1:16" x14ac:dyDescent="0.25">
      <c r="A29" s="672" t="s">
        <v>291</v>
      </c>
      <c r="B29" s="658"/>
      <c r="C29" s="658"/>
      <c r="D29" s="658"/>
      <c r="E29" s="658"/>
      <c r="F29" s="658"/>
      <c r="G29" s="658"/>
      <c r="H29" s="658"/>
      <c r="I29" s="658"/>
      <c r="J29" s="658"/>
      <c r="K29" s="658"/>
      <c r="L29" s="658"/>
      <c r="M29" s="658"/>
      <c r="N29" s="658"/>
      <c r="O29" s="667"/>
      <c r="P29" s="658"/>
    </row>
    <row r="30" spans="1:16" hidden="1" x14ac:dyDescent="0.25">
      <c r="A30" s="658"/>
      <c r="B30" s="658"/>
      <c r="C30" s="658"/>
      <c r="D30" s="658"/>
      <c r="E30" s="658"/>
      <c r="F30" s="658"/>
      <c r="G30" s="658"/>
      <c r="H30" s="658"/>
      <c r="I30" s="658"/>
      <c r="J30" s="658"/>
      <c r="K30" s="658"/>
      <c r="L30" s="658"/>
      <c r="M30" s="658"/>
      <c r="N30" s="658"/>
      <c r="O30" s="658"/>
      <c r="P30" s="658"/>
    </row>
    <row r="31" spans="1:16" hidden="1" x14ac:dyDescent="0.25">
      <c r="A31" s="658"/>
      <c r="B31" s="658"/>
      <c r="C31" s="658"/>
      <c r="D31" s="658"/>
      <c r="E31" s="658"/>
      <c r="F31" s="658"/>
      <c r="G31" s="658"/>
      <c r="H31" s="658"/>
      <c r="I31" s="658"/>
      <c r="J31" s="658"/>
      <c r="K31" s="658"/>
      <c r="L31" s="658"/>
      <c r="M31" s="658"/>
      <c r="N31" s="658"/>
      <c r="O31" s="658"/>
      <c r="P31" s="658"/>
    </row>
    <row r="32" spans="1:16" hidden="1" x14ac:dyDescent="0.25">
      <c r="A32" s="658"/>
      <c r="B32" s="658"/>
      <c r="C32" s="667">
        <v>199839.18749999997</v>
      </c>
      <c r="D32" s="667">
        <v>199839.18749999997</v>
      </c>
      <c r="E32" s="667">
        <v>199839.18749999997</v>
      </c>
      <c r="F32" s="667">
        <v>199839.18749999997</v>
      </c>
      <c r="G32" s="667">
        <v>199839.18749999997</v>
      </c>
      <c r="H32" s="667">
        <v>199839.18749999997</v>
      </c>
      <c r="I32" s="667">
        <v>199839.18749999997</v>
      </c>
      <c r="J32" s="667">
        <v>199839.18749999997</v>
      </c>
      <c r="K32" s="667">
        <v>199839.18749999997</v>
      </c>
      <c r="L32" s="667">
        <v>199839.18749999997</v>
      </c>
      <c r="M32" s="667">
        <v>199839.18749999997</v>
      </c>
      <c r="N32" s="667">
        <v>199839.18749999997</v>
      </c>
      <c r="O32" s="667">
        <f>SUM(C32:N32)</f>
        <v>2398070.2499999995</v>
      </c>
      <c r="P32" s="658"/>
    </row>
    <row r="33" spans="15:15" hidden="1" x14ac:dyDescent="0.25">
      <c r="O33" s="658"/>
    </row>
    <row r="34" spans="15:15" hidden="1" x14ac:dyDescent="0.25">
      <c r="O34" s="667">
        <f>O32-O27</f>
        <v>0</v>
      </c>
    </row>
    <row r="35" spans="15:15" hidden="1" x14ac:dyDescent="0.25">
      <c r="O35" s="658"/>
    </row>
    <row r="36" spans="15:15" x14ac:dyDescent="0.25">
      <c r="O36" s="658"/>
    </row>
  </sheetData>
  <mergeCells count="4">
    <mergeCell ref="A1:O1"/>
    <mergeCell ref="A2:O2"/>
    <mergeCell ref="A3:O3"/>
    <mergeCell ref="A4:O4"/>
  </mergeCells>
  <printOptions horizontalCentered="1"/>
  <pageMargins left="0.78740157480314965" right="0.78740157480314965" top="0.98425196850393704" bottom="0.98425196850393704" header="0" footer="0"/>
  <pageSetup paperSize="5" scale="9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rgb="FFFFFF00"/>
  </sheetPr>
  <dimension ref="A1:Q29"/>
  <sheetViews>
    <sheetView workbookViewId="0">
      <selection activeCell="I12" sqref="I12:K12"/>
    </sheetView>
  </sheetViews>
  <sheetFormatPr baseColWidth="10" defaultRowHeight="12.75" x14ac:dyDescent="0.2"/>
  <cols>
    <col min="1" max="1" width="16.5703125" style="658" customWidth="1"/>
    <col min="2" max="2" width="9.28515625" style="658" hidden="1" customWidth="1"/>
    <col min="3" max="14" width="11.7109375" style="658" bestFit="1" customWidth="1"/>
    <col min="15" max="15" width="13" style="658" bestFit="1" customWidth="1"/>
    <col min="16" max="16" width="12.7109375" style="658" bestFit="1" customWidth="1"/>
    <col min="17" max="16384" width="11.42578125" style="658"/>
  </cols>
  <sheetData>
    <row r="1" spans="1:17" ht="15.75" x14ac:dyDescent="0.25">
      <c r="A1" s="1019" t="s">
        <v>279</v>
      </c>
      <c r="B1" s="1019"/>
      <c r="C1" s="1019"/>
      <c r="D1" s="1019"/>
      <c r="E1" s="1019"/>
      <c r="F1" s="1019"/>
      <c r="G1" s="1019"/>
      <c r="H1" s="1019"/>
      <c r="I1" s="1019"/>
      <c r="J1" s="1019"/>
      <c r="K1" s="1019"/>
      <c r="L1" s="1019"/>
      <c r="M1" s="1019"/>
      <c r="N1" s="1019"/>
      <c r="O1" s="1019"/>
    </row>
    <row r="2" spans="1:17" x14ac:dyDescent="0.2">
      <c r="A2" s="1020" t="s">
        <v>280</v>
      </c>
      <c r="B2" s="1020"/>
      <c r="C2" s="1020"/>
      <c r="D2" s="1020"/>
      <c r="E2" s="1020"/>
      <c r="F2" s="1020"/>
      <c r="G2" s="1020"/>
      <c r="H2" s="1020"/>
      <c r="I2" s="1020"/>
      <c r="J2" s="1020"/>
      <c r="K2" s="1020"/>
      <c r="L2" s="1020"/>
      <c r="M2" s="1020"/>
      <c r="N2" s="1020"/>
      <c r="O2" s="1020"/>
    </row>
    <row r="3" spans="1:17" x14ac:dyDescent="0.2">
      <c r="A3" s="1020" t="s">
        <v>281</v>
      </c>
      <c r="B3" s="1020"/>
      <c r="C3" s="1020"/>
      <c r="D3" s="1020"/>
      <c r="E3" s="1020"/>
      <c r="F3" s="1020"/>
      <c r="G3" s="1020"/>
      <c r="H3" s="1020"/>
      <c r="I3" s="1020"/>
      <c r="J3" s="1020"/>
      <c r="K3" s="1020"/>
      <c r="L3" s="1020"/>
      <c r="M3" s="1020"/>
      <c r="N3" s="1020"/>
      <c r="O3" s="1020"/>
    </row>
    <row r="4" spans="1:17" x14ac:dyDescent="0.2">
      <c r="A4" s="1021" t="s">
        <v>352</v>
      </c>
      <c r="B4" s="1021"/>
      <c r="C4" s="1021"/>
      <c r="D4" s="1021"/>
      <c r="E4" s="1021"/>
      <c r="F4" s="1021"/>
      <c r="G4" s="1021"/>
      <c r="H4" s="1021"/>
      <c r="I4" s="1021"/>
      <c r="J4" s="1021"/>
      <c r="K4" s="1021"/>
      <c r="L4" s="1021"/>
      <c r="M4" s="1021"/>
      <c r="N4" s="1021"/>
      <c r="O4" s="1021"/>
    </row>
    <row r="5" spans="1:17" ht="13.5" thickBot="1" x14ac:dyDescent="0.25"/>
    <row r="6" spans="1:17" ht="23.25" thickBot="1" x14ac:dyDescent="0.25">
      <c r="A6" s="659" t="s">
        <v>351</v>
      </c>
      <c r="B6" s="660" t="s">
        <v>283</v>
      </c>
      <c r="C6" s="659" t="s">
        <v>1</v>
      </c>
      <c r="D6" s="661" t="s">
        <v>2</v>
      </c>
      <c r="E6" s="659" t="s">
        <v>3</v>
      </c>
      <c r="F6" s="661" t="s">
        <v>4</v>
      </c>
      <c r="G6" s="659" t="s">
        <v>5</v>
      </c>
      <c r="H6" s="659" t="s">
        <v>6</v>
      </c>
      <c r="I6" s="659" t="s">
        <v>7</v>
      </c>
      <c r="J6" s="661" t="s">
        <v>8</v>
      </c>
      <c r="K6" s="659" t="s">
        <v>9</v>
      </c>
      <c r="L6" s="661" t="s">
        <v>10</v>
      </c>
      <c r="M6" s="659" t="s">
        <v>11</v>
      </c>
      <c r="N6" s="659" t="s">
        <v>12</v>
      </c>
      <c r="O6" s="662" t="s">
        <v>169</v>
      </c>
    </row>
    <row r="7" spans="1:17" x14ac:dyDescent="0.2">
      <c r="A7" s="663" t="s">
        <v>284</v>
      </c>
      <c r="B7" s="674"/>
      <c r="C7" s="665">
        <f>' FOCO INCREMENTO'!C7+' FOCO ESTIMACION'!C7</f>
        <v>293071.38094113616</v>
      </c>
      <c r="D7" s="665">
        <f>' FOCO INCREMENTO'!D7+' FOCO ESTIMACION'!D7</f>
        <v>293289.07700500864</v>
      </c>
      <c r="E7" s="665">
        <f>' FOCO INCREMENTO'!E7+' FOCO ESTIMACION'!E7</f>
        <v>298117.71297701803</v>
      </c>
      <c r="F7" s="665">
        <f>' FOCO INCREMENTO'!F7+' FOCO ESTIMACION'!F7</f>
        <v>296484.38558738248</v>
      </c>
      <c r="G7" s="665">
        <f>' FOCO INCREMENTO'!G7+' FOCO ESTIMACION'!G7</f>
        <v>299085.218695983</v>
      </c>
      <c r="H7" s="665">
        <f>' FOCO INCREMENTO'!H7+' FOCO ESTIMACION'!H7</f>
        <v>297466.04818721942</v>
      </c>
      <c r="I7" s="665">
        <f>' FOCO INCREMENTO'!I7+' FOCO ESTIMACION'!I7</f>
        <v>298919.91051398386</v>
      </c>
      <c r="J7" s="665">
        <f>' FOCO INCREMENTO'!J7+' FOCO ESTIMACION'!J7</f>
        <v>298616.87437950354</v>
      </c>
      <c r="K7" s="665">
        <f>' FOCO INCREMENTO'!K7+' FOCO ESTIMACION'!K7</f>
        <v>296742.34150924592</v>
      </c>
      <c r="L7" s="665">
        <f>' FOCO INCREMENTO'!L7+' FOCO ESTIMACION'!L7</f>
        <v>298792.87554019765</v>
      </c>
      <c r="M7" s="665">
        <f>' FOCO INCREMENTO'!M7+' FOCO ESTIMACION'!M7</f>
        <v>297282.4846585794</v>
      </c>
      <c r="N7" s="665">
        <f>' FOCO INCREMENTO'!N7+' FOCO ESTIMACION'!N7</f>
        <v>286872.62029435788</v>
      </c>
      <c r="O7" s="666">
        <f>SUM(C7:N7)</f>
        <v>3554740.9302896159</v>
      </c>
      <c r="P7" s="667"/>
      <c r="Q7" s="667"/>
    </row>
    <row r="8" spans="1:17" x14ac:dyDescent="0.2">
      <c r="A8" s="663" t="s">
        <v>148</v>
      </c>
      <c r="B8" s="675"/>
      <c r="C8" s="665">
        <f>' FOCO INCREMENTO'!C8+' FOCO ESTIMACION'!C8</f>
        <v>167923.75088356718</v>
      </c>
      <c r="D8" s="665">
        <f>' FOCO INCREMENTO'!D8+' FOCO ESTIMACION'!D8</f>
        <v>167337.37845460372</v>
      </c>
      <c r="E8" s="665">
        <f>' FOCO INCREMENTO'!E8+' FOCO ESTIMACION'!E8</f>
        <v>154331.26822403382</v>
      </c>
      <c r="F8" s="665">
        <f>' FOCO INCREMENTO'!F8+' FOCO ESTIMACION'!F8</f>
        <v>158730.69617746651</v>
      </c>
      <c r="G8" s="665">
        <f>' FOCO INCREMENTO'!G8+' FOCO ESTIMACION'!G8</f>
        <v>151725.25565598984</v>
      </c>
      <c r="H8" s="665">
        <f>' FOCO INCREMENTO'!H8+' FOCO ESTIMACION'!H8</f>
        <v>156086.55152528794</v>
      </c>
      <c r="I8" s="665">
        <f>' FOCO INCREMENTO'!I8+' FOCO ESTIMACION'!I8</f>
        <v>152170.51938047839</v>
      </c>
      <c r="J8" s="665">
        <f>' FOCO INCREMENTO'!J8+' FOCO ESTIMACION'!J8</f>
        <v>152986.75845746492</v>
      </c>
      <c r="K8" s="665">
        <f>' FOCO INCREMENTO'!K8+' FOCO ESTIMACION'!K8</f>
        <v>158035.88232655043</v>
      </c>
      <c r="L8" s="665">
        <f>' FOCO INCREMENTO'!L8+' FOCO ESTIMACION'!L8</f>
        <v>152512.69279793606</v>
      </c>
      <c r="M8" s="665">
        <f>' FOCO INCREMENTO'!M8+' FOCO ESTIMACION'!M8</f>
        <v>156580.98670359585</v>
      </c>
      <c r="N8" s="665">
        <f>' FOCO INCREMENTO'!N8+' FOCO ESTIMACION'!N8</f>
        <v>184620.3427849373</v>
      </c>
      <c r="O8" s="666">
        <f t="shared" ref="O8:O26" si="0">SUM(C8:N8)</f>
        <v>1913042.0833719117</v>
      </c>
      <c r="P8" s="667"/>
    </row>
    <row r="9" spans="1:17" x14ac:dyDescent="0.2">
      <c r="A9" s="663" t="s">
        <v>149</v>
      </c>
      <c r="B9" s="675"/>
      <c r="C9" s="665">
        <f>' FOCO INCREMENTO'!C9+' FOCO ESTIMACION'!C9</f>
        <v>162497.33002536252</v>
      </c>
      <c r="D9" s="665">
        <f>' FOCO INCREMENTO'!D9+' FOCO ESTIMACION'!D9</f>
        <v>161599.03706208098</v>
      </c>
      <c r="E9" s="665">
        <f>' FOCO INCREMENTO'!E9+' FOCO ESTIMACION'!E9</f>
        <v>141674.33268872258</v>
      </c>
      <c r="F9" s="665">
        <f>' FOCO INCREMENTO'!F9+' FOCO ESTIMACION'!F9</f>
        <v>148414.03424668752</v>
      </c>
      <c r="G9" s="665">
        <f>' FOCO INCREMENTO'!G9+' FOCO ESTIMACION'!G9</f>
        <v>137682.05297626185</v>
      </c>
      <c r="H9" s="665">
        <f>' FOCO INCREMENTO'!H9+' FOCO ESTIMACION'!H9</f>
        <v>144363.33810609777</v>
      </c>
      <c r="I9" s="665">
        <f>' FOCO INCREMENTO'!I9+' FOCO ESTIMACION'!I9</f>
        <v>138364.17452692825</v>
      </c>
      <c r="J9" s="665">
        <f>' FOCO INCREMENTO'!J9+' FOCO ESTIMACION'!J9</f>
        <v>139614.61159217116</v>
      </c>
      <c r="K9" s="665">
        <f>' FOCO INCREMENTO'!K9+' FOCO ESTIMACION'!K9</f>
        <v>147349.61449869256</v>
      </c>
      <c r="L9" s="665">
        <f>' FOCO INCREMENTO'!L9+' FOCO ESTIMACION'!L9</f>
        <v>138888.3669308371</v>
      </c>
      <c r="M9" s="665">
        <f>' FOCO INCREMENTO'!M9+' FOCO ESTIMACION'!M9</f>
        <v>145120.78784202406</v>
      </c>
      <c r="N9" s="665">
        <f>' FOCO INCREMENTO'!N9+' FOCO ESTIMACION'!N9</f>
        <v>188075.66603665374</v>
      </c>
      <c r="O9" s="666">
        <f t="shared" si="0"/>
        <v>1793643.3465325201</v>
      </c>
      <c r="P9" s="667"/>
    </row>
    <row r="10" spans="1:17" x14ac:dyDescent="0.2">
      <c r="A10" s="663" t="s">
        <v>285</v>
      </c>
      <c r="B10" s="675"/>
      <c r="C10" s="665">
        <f>' FOCO INCREMENTO'!C10+' FOCO ESTIMACION'!C10</f>
        <v>648950.14567954827</v>
      </c>
      <c r="D10" s="665">
        <f>' FOCO INCREMENTO'!D10+' FOCO ESTIMACION'!D10</f>
        <v>648408.0431213798</v>
      </c>
      <c r="E10" s="665">
        <f>' FOCO INCREMENTO'!E10+' FOCO ESTIMACION'!E10</f>
        <v>636383.86654084595</v>
      </c>
      <c r="F10" s="665">
        <f>' FOCO INCREMENTO'!F10+' FOCO ESTIMACION'!F10</f>
        <v>640451.14704421081</v>
      </c>
      <c r="G10" s="665">
        <f>' FOCO INCREMENTO'!G10+' FOCO ESTIMACION'!G10</f>
        <v>633974.60237702238</v>
      </c>
      <c r="H10" s="665">
        <f>' FOCO INCREMENTO'!H10+' FOCO ESTIMACION'!H10</f>
        <v>638006.62968747341</v>
      </c>
      <c r="I10" s="665">
        <f>' FOCO INCREMENTO'!I10+' FOCO ESTIMACION'!I10</f>
        <v>634386.24963767477</v>
      </c>
      <c r="J10" s="665">
        <f>' FOCO INCREMENTO'!J10+' FOCO ESTIMACION'!J10</f>
        <v>635140.86440101499</v>
      </c>
      <c r="K10" s="665">
        <f>' FOCO INCREMENTO'!K10+' FOCO ESTIMACION'!K10</f>
        <v>639808.79016072245</v>
      </c>
      <c r="L10" s="665">
        <f>' FOCO INCREMENTO'!L10+' FOCO ESTIMACION'!L10</f>
        <v>634702.58969013765</v>
      </c>
      <c r="M10" s="665">
        <f>' FOCO INCREMENTO'!M10+' FOCO ESTIMACION'!M10</f>
        <v>638463.7360618012</v>
      </c>
      <c r="N10" s="665">
        <f>' FOCO INCREMENTO'!N10+' FOCO ESTIMACION'!N10</f>
        <v>664386.18041676772</v>
      </c>
      <c r="O10" s="666">
        <f t="shared" si="0"/>
        <v>7693062.8448185986</v>
      </c>
      <c r="P10" s="667"/>
    </row>
    <row r="11" spans="1:17" x14ac:dyDescent="0.2">
      <c r="A11" s="663" t="s">
        <v>151</v>
      </c>
      <c r="B11" s="675"/>
      <c r="C11" s="665">
        <f>' FOCO INCREMENTO'!C11+' FOCO ESTIMACION'!C11</f>
        <v>471383.47329630965</v>
      </c>
      <c r="D11" s="665">
        <f>' FOCO INCREMENTO'!D11+' FOCO ESTIMACION'!D11</f>
        <v>471826.0683521055</v>
      </c>
      <c r="E11" s="665">
        <f>' FOCO INCREMENTO'!E11+' FOCO ESTIMACION'!E11</f>
        <v>481643.10578233266</v>
      </c>
      <c r="F11" s="665">
        <f>' FOCO INCREMENTO'!F11+' FOCO ESTIMACION'!F11</f>
        <v>478322.40896177804</v>
      </c>
      <c r="G11" s="665">
        <f>' FOCO INCREMENTO'!G11+' FOCO ESTIMACION'!G11</f>
        <v>483610.12916369666</v>
      </c>
      <c r="H11" s="665">
        <f>' FOCO INCREMENTO'!H11+' FOCO ESTIMACION'!H11</f>
        <v>480318.21451479895</v>
      </c>
      <c r="I11" s="665">
        <f>' FOCO INCREMENTO'!I11+' FOCO ESTIMACION'!I11</f>
        <v>483274.04323391954</v>
      </c>
      <c r="J11" s="665">
        <f>' FOCO INCREMENTO'!J11+' FOCO ESTIMACION'!J11</f>
        <v>482657.94438278442</v>
      </c>
      <c r="K11" s="665">
        <f>' FOCO INCREMENTO'!K11+' FOCO ESTIMACION'!K11</f>
        <v>478846.8558148772</v>
      </c>
      <c r="L11" s="665">
        <f>' FOCO INCREMENTO'!L11+' FOCO ESTIMACION'!L11</f>
        <v>483015.77006944065</v>
      </c>
      <c r="M11" s="665">
        <f>' FOCO INCREMENTO'!M11+' FOCO ESTIMACION'!M11</f>
        <v>479945.01387554395</v>
      </c>
      <c r="N11" s="665">
        <f>' FOCO INCREMENTO'!N11+' FOCO ESTIMACION'!N11</f>
        <v>458780.85308571672</v>
      </c>
      <c r="O11" s="666">
        <f t="shared" si="0"/>
        <v>5733623.8805333041</v>
      </c>
      <c r="P11" s="667"/>
    </row>
    <row r="12" spans="1:17" x14ac:dyDescent="0.2">
      <c r="A12" s="663" t="s">
        <v>286</v>
      </c>
      <c r="B12" s="675"/>
      <c r="C12" s="665">
        <f>' FOCO INCREMENTO'!C12+' FOCO ESTIMACION'!C12</f>
        <v>495784.42770370154</v>
      </c>
      <c r="D12" s="665">
        <f>' FOCO INCREMENTO'!D12+' FOCO ESTIMACION'!D12</f>
        <v>497161.63737425732</v>
      </c>
      <c r="E12" s="665">
        <f>' FOCO INCREMENTO'!E12+' FOCO ESTIMACION'!E12</f>
        <v>527709.01631142921</v>
      </c>
      <c r="F12" s="665">
        <f>' FOCO INCREMENTO'!F12+' FOCO ESTIMACION'!F12</f>
        <v>517376.10428640118</v>
      </c>
      <c r="G12" s="665">
        <f>' FOCO INCREMENTO'!G12+' FOCO ESTIMACION'!G12</f>
        <v>533829.74357114127</v>
      </c>
      <c r="H12" s="665">
        <f>' FOCO INCREMENTO'!H12+' FOCO ESTIMACION'!H12</f>
        <v>523586.39216055354</v>
      </c>
      <c r="I12" s="665">
        <f>' FOCO INCREMENTO'!I12+' FOCO ESTIMACION'!I12</f>
        <v>532783.95513187698</v>
      </c>
      <c r="J12" s="665">
        <f>' FOCO INCREMENTO'!J12+' FOCO ESTIMACION'!J12</f>
        <v>530866.85894047073</v>
      </c>
      <c r="K12" s="665">
        <f>' FOCO INCREMENTO'!K12+' FOCO ESTIMACION'!K12</f>
        <v>519008.00972303527</v>
      </c>
      <c r="L12" s="665">
        <f>' FOCO INCREMENTO'!L12+' FOCO ESTIMACION'!L12</f>
        <v>531980.29432476347</v>
      </c>
      <c r="M12" s="665">
        <f>' FOCO INCREMENTO'!M12+' FOCO ESTIMACION'!M12</f>
        <v>522425.11500052002</v>
      </c>
      <c r="N12" s="665">
        <f>' FOCO INCREMENTO'!N12+' FOCO ESTIMACION'!N12</f>
        <v>456569.23494209762</v>
      </c>
      <c r="O12" s="666">
        <f t="shared" si="0"/>
        <v>6189080.7894702479</v>
      </c>
      <c r="P12" s="667"/>
    </row>
    <row r="13" spans="1:17" x14ac:dyDescent="0.2">
      <c r="A13" s="663" t="s">
        <v>153</v>
      </c>
      <c r="B13" s="675"/>
      <c r="C13" s="665">
        <f>' FOCO INCREMENTO'!C13+' FOCO ESTIMACION'!C13</f>
        <v>198742.42751254898</v>
      </c>
      <c r="D13" s="665">
        <f>' FOCO INCREMENTO'!D13+' FOCO ESTIMACION'!D13</f>
        <v>198139.53744934488</v>
      </c>
      <c r="E13" s="665">
        <f>' FOCO INCREMENTO'!E13+' FOCO ESTIMACION'!E13</f>
        <v>184767.05567558703</v>
      </c>
      <c r="F13" s="665">
        <f>' FOCO INCREMENTO'!F13+' FOCO ESTIMACION'!F13</f>
        <v>189290.41193501354</v>
      </c>
      <c r="G13" s="665">
        <f>' FOCO INCREMENTO'!G13+' FOCO ESTIMACION'!G13</f>
        <v>182087.63385380042</v>
      </c>
      <c r="H13" s="665">
        <f>' FOCO INCREMENTO'!H13+' FOCO ESTIMACION'!H13</f>
        <v>186571.78387930719</v>
      </c>
      <c r="I13" s="665">
        <f>' FOCO INCREMENTO'!I13+' FOCO ESTIMACION'!I13</f>
        <v>182545.44029513313</v>
      </c>
      <c r="J13" s="665">
        <f>' FOCO INCREMENTO'!J13+' FOCO ESTIMACION'!J13</f>
        <v>183384.67216281148</v>
      </c>
      <c r="K13" s="665">
        <f>' FOCO INCREMENTO'!K13+' FOCO ESTIMACION'!K13</f>
        <v>188576.0257432303</v>
      </c>
      <c r="L13" s="665">
        <f>' FOCO INCREMENTO'!L13+' FOCO ESTIMACION'!L13</f>
        <v>182897.25245936209</v>
      </c>
      <c r="M13" s="665">
        <f>' FOCO INCREMENTO'!M13+' FOCO ESTIMACION'!M13</f>
        <v>187080.14689430658</v>
      </c>
      <c r="N13" s="665">
        <f>' FOCO INCREMENTO'!N13+' FOCO ESTIMACION'!N13</f>
        <v>215909.34882313054</v>
      </c>
      <c r="O13" s="666">
        <f t="shared" si="0"/>
        <v>2279991.7366835759</v>
      </c>
      <c r="P13" s="667"/>
    </row>
    <row r="14" spans="1:17" x14ac:dyDescent="0.2">
      <c r="A14" s="663" t="s">
        <v>154</v>
      </c>
      <c r="B14" s="675"/>
      <c r="C14" s="665">
        <f>' FOCO INCREMENTO'!C14+' FOCO ESTIMACION'!C14</f>
        <v>222371.49636443221</v>
      </c>
      <c r="D14" s="665">
        <f>' FOCO INCREMENTO'!D14+' FOCO ESTIMACION'!D14</f>
        <v>222252.66472918843</v>
      </c>
      <c r="E14" s="665">
        <f>' FOCO INCREMENTO'!E14+' FOCO ESTIMACION'!E14</f>
        <v>219616.90412633881</v>
      </c>
      <c r="F14" s="665">
        <f>' FOCO INCREMENTO'!F14+' FOCO ESTIMACION'!F14</f>
        <v>220508.47267905474</v>
      </c>
      <c r="G14" s="665">
        <f>' FOCO INCREMENTO'!G14+' FOCO ESTIMACION'!G14</f>
        <v>219088.78117984577</v>
      </c>
      <c r="H14" s="665">
        <f>' FOCO INCREMENTO'!H14+' FOCO ESTIMACION'!H14</f>
        <v>219972.62205354901</v>
      </c>
      <c r="I14" s="665">
        <f>' FOCO INCREMENTO'!I14+' FOCO ESTIMACION'!I14</f>
        <v>219179.01635101376</v>
      </c>
      <c r="J14" s="665">
        <f>' FOCO INCREMENTO'!J14+' FOCO ESTIMACION'!J14</f>
        <v>219344.43174143316</v>
      </c>
      <c r="K14" s="665">
        <f>' FOCO INCREMENTO'!K14+' FOCO ESTIMACION'!K14</f>
        <v>220367.66478629565</v>
      </c>
      <c r="L14" s="665">
        <f>' FOCO INCREMENTO'!L14+' FOCO ESTIMACION'!L14</f>
        <v>219248.35969787833</v>
      </c>
      <c r="M14" s="665">
        <f>' FOCO INCREMENTO'!M14+' FOCO ESTIMACION'!M14</f>
        <v>220072.82209341828</v>
      </c>
      <c r="N14" s="665">
        <f>' FOCO INCREMENTO'!N14+' FOCO ESTIMACION'!N14</f>
        <v>225755.15361132001</v>
      </c>
      <c r="O14" s="666">
        <f t="shared" si="0"/>
        <v>2647778.389413768</v>
      </c>
      <c r="P14" s="667"/>
    </row>
    <row r="15" spans="1:17" x14ac:dyDescent="0.2">
      <c r="A15" s="663" t="s">
        <v>155</v>
      </c>
      <c r="B15" s="675"/>
      <c r="C15" s="665">
        <f>' FOCO INCREMENTO'!C15+' FOCO ESTIMACION'!C15</f>
        <v>202946.21048486899</v>
      </c>
      <c r="D15" s="665">
        <f>' FOCO INCREMENTO'!D15+' FOCO ESTIMACION'!D15</f>
        <v>202661.91199426143</v>
      </c>
      <c r="E15" s="665">
        <f>' FOCO INCREMENTO'!E15+' FOCO ESTIMACION'!E15</f>
        <v>196355.99219894796</v>
      </c>
      <c r="F15" s="665">
        <f>' FOCO INCREMENTO'!F15+' FOCO ESTIMACION'!F15</f>
        <v>198489.02346869686</v>
      </c>
      <c r="G15" s="665">
        <f>' FOCO INCREMENTO'!G15+' FOCO ESTIMACION'!G15</f>
        <v>195092.48558948998</v>
      </c>
      <c r="H15" s="665">
        <f>' FOCO INCREMENTO'!H15+' FOCO ESTIMACION'!H15</f>
        <v>197207.02879017615</v>
      </c>
      <c r="I15" s="665">
        <f>' FOCO INCREMENTO'!I15+' FOCO ESTIMACION'!I15</f>
        <v>195308.36853101599</v>
      </c>
      <c r="J15" s="665">
        <f>' FOCO INCREMENTO'!J15+' FOCO ESTIMACION'!J15</f>
        <v>195704.11622667831</v>
      </c>
      <c r="K15" s="665">
        <f>' FOCO INCREMENTO'!K15+' FOCO ESTIMACION'!K15</f>
        <v>198152.14792797973</v>
      </c>
      <c r="L15" s="665">
        <f>' FOCO INCREMENTO'!L15+' FOCO ESTIMACION'!L15</f>
        <v>195474.26887234213</v>
      </c>
      <c r="M15" s="665">
        <f>' FOCO INCREMENTO'!M15+' FOCO ESTIMACION'!M15</f>
        <v>197446.75216043193</v>
      </c>
      <c r="N15" s="665">
        <f>' FOCO INCREMENTO'!N15+' FOCO ESTIMACION'!N15</f>
        <v>211041.43400047859</v>
      </c>
      <c r="O15" s="666">
        <f t="shared" si="0"/>
        <v>2385879.7402453679</v>
      </c>
      <c r="P15" s="667"/>
    </row>
    <row r="16" spans="1:17" x14ac:dyDescent="0.2">
      <c r="A16" s="663" t="s">
        <v>156</v>
      </c>
      <c r="B16" s="675"/>
      <c r="C16" s="665">
        <f>' FOCO INCREMENTO'!C16+' FOCO ESTIMACION'!C16</f>
        <v>211173.39319915246</v>
      </c>
      <c r="D16" s="665">
        <f>' FOCO INCREMENTO'!D16+' FOCO ESTIMACION'!D16</f>
        <v>210770.54139188735</v>
      </c>
      <c r="E16" s="665">
        <f>' FOCO INCREMENTO'!E16+' FOCO ESTIMACION'!E16</f>
        <v>201835.03427546986</v>
      </c>
      <c r="F16" s="665">
        <f>' FOCO INCREMENTO'!F16+' FOCO ESTIMACION'!F16</f>
        <v>204857.54593261899</v>
      </c>
      <c r="G16" s="665">
        <f>' FOCO INCREMENTO'!G16+' FOCO ESTIMACION'!G16</f>
        <v>200044.64164966406</v>
      </c>
      <c r="H16" s="665">
        <f>' FOCO INCREMENTO'!H16+' FOCO ESTIMACION'!H16</f>
        <v>203040.95565793061</v>
      </c>
      <c r="I16" s="665">
        <f>' FOCO INCREMENTO'!I16+' FOCO ESTIMACION'!I16</f>
        <v>200350.5484202755</v>
      </c>
      <c r="J16" s="665">
        <f>' FOCO INCREMENTO'!J16+' FOCO ESTIMACION'!J16</f>
        <v>200911.32408277667</v>
      </c>
      <c r="K16" s="665">
        <f>' FOCO INCREMENTO'!K16+' FOCO ESTIMACION'!K16</f>
        <v>204380.19228887901</v>
      </c>
      <c r="L16" s="665">
        <f>' FOCO INCREMENTO'!L16+' FOCO ESTIMACION'!L16</f>
        <v>200585.62969765504</v>
      </c>
      <c r="M16" s="665">
        <f>' FOCO INCREMENTO'!M16+' FOCO ESTIMACION'!M16</f>
        <v>203380.64438700146</v>
      </c>
      <c r="N16" s="665">
        <f>' FOCO INCREMENTO'!N16+' FOCO ESTIMACION'!N16</f>
        <v>222644.34901220904</v>
      </c>
      <c r="O16" s="666">
        <f t="shared" si="0"/>
        <v>2463974.7999955202</v>
      </c>
      <c r="P16" s="667"/>
    </row>
    <row r="17" spans="1:16" x14ac:dyDescent="0.2">
      <c r="A17" s="663" t="s">
        <v>157</v>
      </c>
      <c r="B17" s="675"/>
      <c r="C17" s="665">
        <f>' FOCO INCREMENTO'!C17+' FOCO ESTIMACION'!C17</f>
        <v>362749.75476246886</v>
      </c>
      <c r="D17" s="665">
        <f>' FOCO INCREMENTO'!D17+' FOCO ESTIMACION'!D17</f>
        <v>363448.87419418164</v>
      </c>
      <c r="E17" s="665">
        <f>' FOCO INCREMENTO'!E17+' FOCO ESTIMACION'!E17</f>
        <v>378955.78404201515</v>
      </c>
      <c r="F17" s="665">
        <f>' FOCO INCREMENTO'!F17+' FOCO ESTIMACION'!F17</f>
        <v>373710.43924280151</v>
      </c>
      <c r="G17" s="665">
        <f>' FOCO INCREMENTO'!G17+' FOCO ESTIMACION'!G17</f>
        <v>382062.87764944852</v>
      </c>
      <c r="H17" s="665">
        <f>' FOCO INCREMENTO'!H17+' FOCO ESTIMACION'!H17</f>
        <v>376862.99692677316</v>
      </c>
      <c r="I17" s="665">
        <f>' FOCO INCREMENTO'!I17+' FOCO ESTIMACION'!I17</f>
        <v>381531.99913836806</v>
      </c>
      <c r="J17" s="665">
        <f>' FOCO INCREMENTO'!J17+' FOCO ESTIMACION'!J17</f>
        <v>380558.81456921389</v>
      </c>
      <c r="K17" s="665">
        <f>' FOCO INCREMENTO'!K17+' FOCO ESTIMACION'!K17</f>
        <v>374538.85108586412</v>
      </c>
      <c r="L17" s="665">
        <f>' FOCO INCREMENTO'!L17+' FOCO ESTIMACION'!L17</f>
        <v>381124.0330176159</v>
      </c>
      <c r="M17" s="665">
        <f>' FOCO INCREMENTO'!M17+' FOCO ESTIMACION'!M17</f>
        <v>376273.49233241746</v>
      </c>
      <c r="N17" s="665">
        <f>' FOCO INCREMENTO'!N17+' FOCO ESTIMACION'!N17</f>
        <v>342842.76175759191</v>
      </c>
      <c r="O17" s="666">
        <f t="shared" si="0"/>
        <v>4474660.6787187606</v>
      </c>
      <c r="P17" s="667"/>
    </row>
    <row r="18" spans="1:16" x14ac:dyDescent="0.2">
      <c r="A18" s="663" t="s">
        <v>158</v>
      </c>
      <c r="B18" s="675"/>
      <c r="C18" s="665">
        <f>' FOCO INCREMENTO'!C18+' FOCO ESTIMACION'!C18</f>
        <v>216262.67584227401</v>
      </c>
      <c r="D18" s="665">
        <f>' FOCO INCREMENTO'!D18+' FOCO ESTIMACION'!D18</f>
        <v>216125.69790693893</v>
      </c>
      <c r="E18" s="665">
        <f>' FOCO INCREMENTO'!E18+' FOCO ESTIMACION'!E18</f>
        <v>213087.44092532544</v>
      </c>
      <c r="F18" s="665">
        <f>' FOCO INCREMENTO'!F18+' FOCO ESTIMACION'!F18</f>
        <v>214115.15731844079</v>
      </c>
      <c r="G18" s="665">
        <f>' FOCO INCREMENTO'!G18+' FOCO ESTIMACION'!G18</f>
        <v>212478.67045216565</v>
      </c>
      <c r="H18" s="665">
        <f>' FOCO INCREMENTO'!H18+' FOCO ESTIMACION'!H18</f>
        <v>213497.47910355113</v>
      </c>
      <c r="I18" s="665">
        <f>' FOCO INCREMENTO'!I18+' FOCO ESTIMACION'!I18</f>
        <v>212582.68507264816</v>
      </c>
      <c r="J18" s="665">
        <f>' FOCO INCREMENTO'!J18+' FOCO ESTIMACION'!J18</f>
        <v>212773.3603806654</v>
      </c>
      <c r="K18" s="665">
        <f>' FOCO INCREMENTO'!K18+' FOCO ESTIMACION'!K18</f>
        <v>213952.84721987607</v>
      </c>
      <c r="L18" s="665">
        <f>' FOCO INCREMENTO'!L18+' FOCO ESTIMACION'!L18</f>
        <v>212662.61756253819</v>
      </c>
      <c r="M18" s="665">
        <f>' FOCO INCREMENTO'!M18+' FOCO ESTIMACION'!M18</f>
        <v>213612.98028767289</v>
      </c>
      <c r="N18" s="665">
        <f>' FOCO INCREMENTO'!N18+' FOCO ESTIMACION'!N18</f>
        <v>220163.03775019135</v>
      </c>
      <c r="O18" s="666">
        <f t="shared" si="0"/>
        <v>2571314.6498222882</v>
      </c>
      <c r="P18" s="667"/>
    </row>
    <row r="19" spans="1:16" x14ac:dyDescent="0.2">
      <c r="A19" s="663" t="s">
        <v>159</v>
      </c>
      <c r="B19" s="675"/>
      <c r="C19" s="665">
        <f>' FOCO INCREMENTO'!C19+' FOCO ESTIMACION'!C19</f>
        <v>274192.05874801276</v>
      </c>
      <c r="D19" s="665">
        <f>' FOCO INCREMENTO'!D19+' FOCO ESTIMACION'!D19</f>
        <v>274171.27774645935</v>
      </c>
      <c r="E19" s="665">
        <f>' FOCO INCREMENTO'!E19+' FOCO ESTIMACION'!E19</f>
        <v>273710.3420278714</v>
      </c>
      <c r="F19" s="665">
        <f>' FOCO INCREMENTO'!F19+' FOCO ESTIMACION'!F19</f>
        <v>273866.25747446856</v>
      </c>
      <c r="G19" s="665">
        <f>' FOCO INCREMENTO'!G19+' FOCO ESTIMACION'!G19</f>
        <v>273617.98510836158</v>
      </c>
      <c r="H19" s="665">
        <f>' FOCO INCREMENTO'!H19+' FOCO ESTIMACION'!H19</f>
        <v>273772.54915632465</v>
      </c>
      <c r="I19" s="665">
        <f>' FOCO INCREMENTO'!I19+' FOCO ESTIMACION'!I19</f>
        <v>273633.76522641152</v>
      </c>
      <c r="J19" s="665">
        <f>' FOCO INCREMENTO'!J19+' FOCO ESTIMACION'!J19</f>
        <v>273662.69268733717</v>
      </c>
      <c r="K19" s="665">
        <f>' FOCO INCREMENTO'!K19+' FOCO ESTIMACION'!K19</f>
        <v>273841.63331582479</v>
      </c>
      <c r="L19" s="665">
        <f>' FOCO INCREMENTO'!L19+' FOCO ESTIMACION'!L19</f>
        <v>273645.89183054306</v>
      </c>
      <c r="M19" s="665">
        <f>' FOCO INCREMENTO'!M19+' FOCO ESTIMACION'!M19</f>
        <v>273790.07190756756</v>
      </c>
      <c r="N19" s="665">
        <f>' FOCO INCREMENTO'!N19+' FOCO ESTIMACION'!N19</f>
        <v>274783.78490207362</v>
      </c>
      <c r="O19" s="666">
        <f t="shared" si="0"/>
        <v>3286688.3101312565</v>
      </c>
      <c r="P19" s="667"/>
    </row>
    <row r="20" spans="1:16" x14ac:dyDescent="0.2">
      <c r="A20" s="663" t="s">
        <v>287</v>
      </c>
      <c r="B20" s="675"/>
      <c r="C20" s="665">
        <f>' FOCO INCREMENTO'!C20+' FOCO ESTIMACION'!C20</f>
        <v>168369.18253523775</v>
      </c>
      <c r="D20" s="665">
        <f>' FOCO INCREMENTO'!D20+' FOCO ESTIMACION'!D20</f>
        <v>166734.20322828635</v>
      </c>
      <c r="E20" s="665">
        <f>' FOCO INCREMENTO'!E20+' FOCO ESTIMACION'!E20</f>
        <v>130469.33121085246</v>
      </c>
      <c r="F20" s="665">
        <f>' FOCO INCREMENTO'!F20+' FOCO ESTIMACION'!F20</f>
        <v>142736.23413976654</v>
      </c>
      <c r="G20" s="665">
        <f>' FOCO INCREMENTO'!G20+' FOCO ESTIMACION'!G20</f>
        <v>123202.99941906075</v>
      </c>
      <c r="H20" s="665">
        <f>' FOCO INCREMENTO'!H20+' FOCO ESTIMACION'!H20</f>
        <v>135363.57884875903</v>
      </c>
      <c r="I20" s="665">
        <f>' FOCO INCREMENTO'!I20+' FOCO ESTIMACION'!I20</f>
        <v>124444.52603203908</v>
      </c>
      <c r="J20" s="665">
        <f>' FOCO INCREMENTO'!J20+' FOCO ESTIMACION'!J20</f>
        <v>126720.44136243282</v>
      </c>
      <c r="K20" s="665">
        <f>' FOCO INCREMENTO'!K20+' FOCO ESTIMACION'!K20</f>
        <v>140798.88815909144</v>
      </c>
      <c r="L20" s="665">
        <f>' FOCO INCREMENTO'!L20+' FOCO ESTIMACION'!L20</f>
        <v>125398.60645823015</v>
      </c>
      <c r="M20" s="665">
        <f>' FOCO INCREMENTO'!M20+' FOCO ESTIMACION'!M20</f>
        <v>136742.20998015671</v>
      </c>
      <c r="N20" s="665">
        <f>' FOCO INCREMENTO'!N20+' FOCO ESTIMACION'!N20</f>
        <v>214924.20611233515</v>
      </c>
      <c r="O20" s="666">
        <f t="shared" si="0"/>
        <v>1735904.4074862483</v>
      </c>
      <c r="P20" s="667"/>
    </row>
    <row r="21" spans="1:16" x14ac:dyDescent="0.2">
      <c r="A21" s="663" t="s">
        <v>288</v>
      </c>
      <c r="B21" s="675"/>
      <c r="C21" s="665">
        <f>' FOCO INCREMENTO'!C21+' FOCO ESTIMACION'!C21</f>
        <v>198394.74342085869</v>
      </c>
      <c r="D21" s="665">
        <f>' FOCO INCREMENTO'!D21+' FOCO ESTIMACION'!D21</f>
        <v>198144.57087762517</v>
      </c>
      <c r="E21" s="665">
        <f>' FOCO INCREMENTO'!E21+' FOCO ESTIMACION'!E21</f>
        <v>192595.58611429119</v>
      </c>
      <c r="F21" s="665">
        <f>' FOCO INCREMENTO'!F21+' FOCO ESTIMACION'!F21</f>
        <v>194472.57763967471</v>
      </c>
      <c r="G21" s="665">
        <f>' FOCO INCREMENTO'!G21+' FOCO ESTIMACION'!G21</f>
        <v>191483.74531202397</v>
      </c>
      <c r="H21" s="665">
        <f>' FOCO INCREMENTO'!H21+' FOCO ESTIMACION'!H21</f>
        <v>193344.46799529361</v>
      </c>
      <c r="I21" s="665">
        <f>' FOCO INCREMENTO'!I21+' FOCO ESTIMACION'!I21</f>
        <v>191673.71460945811</v>
      </c>
      <c r="J21" s="665">
        <f>' FOCO INCREMENTO'!J21+' FOCO ESTIMACION'!J21</f>
        <v>192021.95848261783</v>
      </c>
      <c r="K21" s="665">
        <f>' FOCO INCREMENTO'!K21+' FOCO ESTIMACION'!K21</f>
        <v>194176.13916547011</v>
      </c>
      <c r="L21" s="665">
        <f>' FOCO INCREMENTO'!L21+' FOCO ESTIMACION'!L21</f>
        <v>191819.700999411</v>
      </c>
      <c r="M21" s="665">
        <f>' FOCO INCREMENTO'!M21+' FOCO ESTIMACION'!M21</f>
        <v>193555.41602066392</v>
      </c>
      <c r="N21" s="665">
        <f>' FOCO INCREMENTO'!N21+' FOCO ESTIMACION'!N21</f>
        <v>205518.25171179589</v>
      </c>
      <c r="O21" s="666">
        <f t="shared" si="0"/>
        <v>2337200.8723491845</v>
      </c>
      <c r="P21" s="667"/>
    </row>
    <row r="22" spans="1:16" x14ac:dyDescent="0.2">
      <c r="A22" s="663" t="s">
        <v>289</v>
      </c>
      <c r="B22" s="675"/>
      <c r="C22" s="665">
        <f>' FOCO INCREMENTO'!C22+' FOCO ESTIMACION'!C22</f>
        <v>637279.876508596</v>
      </c>
      <c r="D22" s="665">
        <f>' FOCO INCREMENTO'!D22+' FOCO ESTIMACION'!D22</f>
        <v>638145.68402606703</v>
      </c>
      <c r="E22" s="665">
        <f>' FOCO INCREMENTO'!E22+' FOCO ESTIMACION'!E22</f>
        <v>657349.84072660131</v>
      </c>
      <c r="F22" s="665">
        <f>' FOCO INCREMENTO'!F22+' FOCO ESTIMACION'!F22</f>
        <v>650853.87057775154</v>
      </c>
      <c r="G22" s="665">
        <f>' FOCO INCREMENTO'!G22+' FOCO ESTIMACION'!G22</f>
        <v>661197.74550620618</v>
      </c>
      <c r="H22" s="665">
        <f>' FOCO INCREMENTO'!H22+' FOCO ESTIMACION'!H22</f>
        <v>654758.07924115111</v>
      </c>
      <c r="I22" s="665">
        <f>' FOCO INCREMENTO'!I22+' FOCO ESTIMACION'!I22</f>
        <v>660540.29187967593</v>
      </c>
      <c r="J22" s="665">
        <f>' FOCO INCREMENTO'!J22+' FOCO ESTIMACION'!J22</f>
        <v>659335.07503454213</v>
      </c>
      <c r="K22" s="665">
        <f>' FOCO INCREMENTO'!K22+' FOCO ESTIMACION'!K22</f>
        <v>651879.79714873596</v>
      </c>
      <c r="L22" s="665">
        <f>' FOCO INCREMENTO'!L22+' FOCO ESTIMACION'!L22</f>
        <v>660035.05612424086</v>
      </c>
      <c r="M22" s="665">
        <f>' FOCO INCREMENTO'!M22+' FOCO ESTIMACION'!M22</f>
        <v>654028.02156255592</v>
      </c>
      <c r="N22" s="665">
        <f>' FOCO INCREMENTO'!N22+' FOCO ESTIMACION'!N22</f>
        <v>612626.5434555565</v>
      </c>
      <c r="O22" s="666">
        <f t="shared" si="0"/>
        <v>7798029.8817916811</v>
      </c>
      <c r="P22" s="667"/>
    </row>
    <row r="23" spans="1:16" x14ac:dyDescent="0.2">
      <c r="A23" s="663" t="s">
        <v>163</v>
      </c>
      <c r="B23" s="675"/>
      <c r="C23" s="665">
        <f>' FOCO INCREMENTO'!C23+' FOCO ESTIMACION'!C23</f>
        <v>337879.70151730324</v>
      </c>
      <c r="D23" s="665">
        <f>' FOCO INCREMENTO'!D23+' FOCO ESTIMACION'!D23</f>
        <v>338333.16928951914</v>
      </c>
      <c r="E23" s="665">
        <f>' FOCO INCREMENTO'!E23+' FOCO ESTIMACION'!E23</f>
        <v>348391.37042608543</v>
      </c>
      <c r="F23" s="665">
        <f>' FOCO INCREMENTO'!F23+' FOCO ESTIMACION'!F23</f>
        <v>344989.09792054788</v>
      </c>
      <c r="G23" s="665">
        <f>' FOCO INCREMENTO'!G23+' FOCO ESTIMACION'!G23</f>
        <v>350406.7153761994</v>
      </c>
      <c r="H23" s="665">
        <f>' FOCO INCREMENTO'!H23+' FOCO ESTIMACION'!H23</f>
        <v>347033.93210035353</v>
      </c>
      <c r="I23" s="665">
        <f>' FOCO INCREMENTO'!I23+' FOCO ESTIMACION'!I23</f>
        <v>350062.37321545137</v>
      </c>
      <c r="J23" s="665">
        <f>' FOCO INCREMENTO'!J23+' FOCO ESTIMACION'!J23</f>
        <v>349431.13938255957</v>
      </c>
      <c r="K23" s="665">
        <f>' FOCO INCREMENTO'!K23+' FOCO ESTIMACION'!K23</f>
        <v>345526.42824768595</v>
      </c>
      <c r="L23" s="665">
        <f>' FOCO INCREMENTO'!L23+' FOCO ESTIMACION'!L23</f>
        <v>349797.7553554331</v>
      </c>
      <c r="M23" s="665">
        <f>' FOCO INCREMENTO'!M23+' FOCO ESTIMACION'!M23</f>
        <v>346651.56347635662</v>
      </c>
      <c r="N23" s="665">
        <f>' FOCO INCREMENTO'!N23+' FOCO ESTIMACION'!N23</f>
        <v>324967.48743776861</v>
      </c>
      <c r="O23" s="666">
        <f t="shared" si="0"/>
        <v>4133470.7337452639</v>
      </c>
      <c r="P23" s="667"/>
    </row>
    <row r="24" spans="1:16" x14ac:dyDescent="0.2">
      <c r="A24" s="663" t="s">
        <v>164</v>
      </c>
      <c r="B24" s="675"/>
      <c r="C24" s="665">
        <f>' FOCO INCREMENTO'!C24+' FOCO ESTIMACION'!C24</f>
        <v>2236911.5451440504</v>
      </c>
      <c r="D24" s="665">
        <f>' FOCO INCREMENTO'!D24+' FOCO ESTIMACION'!D24</f>
        <v>2238495.4813244063</v>
      </c>
      <c r="E24" s="665">
        <f>' FOCO INCREMENTO'!E24+' FOCO ESTIMACION'!E24</f>
        <v>2273628.1846070536</v>
      </c>
      <c r="F24" s="665">
        <f>' FOCO INCREMENTO'!F24+' FOCO ESTIMACION'!F24</f>
        <v>2261744.2474297378</v>
      </c>
      <c r="G24" s="665">
        <f>' FOCO INCREMENTO'!G24+' FOCO ESTIMACION'!G24</f>
        <v>2280667.665641801</v>
      </c>
      <c r="H24" s="665">
        <f>' FOCO INCREMENTO'!H24+' FOCO ESTIMACION'!H24</f>
        <v>2268886.7326043635</v>
      </c>
      <c r="I24" s="665">
        <f>' FOCO INCREMENTO'!I24+' FOCO ESTIMACION'!I24</f>
        <v>2279464.8987854808</v>
      </c>
      <c r="J24" s="665">
        <f>' FOCO INCREMENTO'!J24+' FOCO ESTIMACION'!J24</f>
        <v>2277260.0362407928</v>
      </c>
      <c r="K24" s="665">
        <f>' FOCO INCREMENTO'!K24+' FOCO ESTIMACION'!K24</f>
        <v>2263621.1105677676</v>
      </c>
      <c r="L24" s="665">
        <f>' FOCO INCREMENTO'!L24+' FOCO ESTIMACION'!L24</f>
        <v>2278540.6042090366</v>
      </c>
      <c r="M24" s="665">
        <f>' FOCO INCREMENTO'!M24+' FOCO ESTIMACION'!M24</f>
        <v>2267551.1415549223</v>
      </c>
      <c r="N24" s="665">
        <f>' FOCO INCREMENTO'!N24+' FOCO ESTIMACION'!N24</f>
        <v>2191809.9429968121</v>
      </c>
      <c r="O24" s="666">
        <f t="shared" si="0"/>
        <v>27118581.591106225</v>
      </c>
      <c r="P24" s="667"/>
    </row>
    <row r="25" spans="1:16" x14ac:dyDescent="0.2">
      <c r="A25" s="663" t="s">
        <v>165</v>
      </c>
      <c r="B25" s="675"/>
      <c r="C25" s="665">
        <f>' FOCO INCREMENTO'!C25+' FOCO ESTIMACION'!C25</f>
        <v>226321.55528975671</v>
      </c>
      <c r="D25" s="665">
        <f>' FOCO INCREMENTO'!D25+' FOCO ESTIMACION'!D25</f>
        <v>226216.7776671442</v>
      </c>
      <c r="E25" s="665">
        <f>' FOCO INCREMENTO'!E25+' FOCO ESTIMACION'!E25</f>
        <v>223892.74392666953</v>
      </c>
      <c r="F25" s="665">
        <f>' FOCO INCREMENTO'!F25+' FOCO ESTIMACION'!F25</f>
        <v>224678.86820374458</v>
      </c>
      <c r="G25" s="665">
        <f>' FOCO INCREMENTO'!G25+' FOCO ESTIMACION'!G25</f>
        <v>223427.08117055969</v>
      </c>
      <c r="H25" s="665">
        <f>' FOCO INCREMENTO'!H25+' FOCO ESTIMACION'!H25</f>
        <v>224206.39170789614</v>
      </c>
      <c r="I25" s="665">
        <f>' FOCO INCREMENTO'!I25+' FOCO ESTIMACION'!I25</f>
        <v>223506.64438360158</v>
      </c>
      <c r="J25" s="665">
        <f>' FOCO INCREMENTO'!J25+' FOCO ESTIMACION'!J25</f>
        <v>223652.49638097678</v>
      </c>
      <c r="K25" s="665">
        <f>' FOCO INCREMENTO'!K25+' FOCO ESTIMACION'!K25</f>
        <v>224554.71341770541</v>
      </c>
      <c r="L25" s="665">
        <f>' FOCO INCREMENTO'!L25+' FOCO ESTIMACION'!L25</f>
        <v>223567.78661238233</v>
      </c>
      <c r="M25" s="665">
        <f>' FOCO INCREMENTO'!M25+' FOCO ESTIMACION'!M25</f>
        <v>224294.74126179767</v>
      </c>
      <c r="N25" s="665">
        <f>' FOCO INCREMENTO'!N25+' FOCO ESTIMACION'!N25</f>
        <v>229305.03322757361</v>
      </c>
      <c r="O25" s="666">
        <f t="shared" si="0"/>
        <v>2697624.8332498078</v>
      </c>
      <c r="P25" s="667"/>
    </row>
    <row r="26" spans="1:16" ht="13.5" thickBot="1" x14ac:dyDescent="0.25">
      <c r="A26" s="663" t="s">
        <v>166</v>
      </c>
      <c r="B26" s="676"/>
      <c r="C26" s="665">
        <f>' FOCO INCREMENTO'!C26+' FOCO ESTIMACION'!C26</f>
        <v>316677.92014081427</v>
      </c>
      <c r="D26" s="665">
        <f>' FOCO INCREMENTO'!D26+' FOCO ESTIMACION'!D26</f>
        <v>316621.41680525366</v>
      </c>
      <c r="E26" s="665">
        <f>' FOCO INCREMENTO'!E26+' FOCO ESTIMACION'!E26</f>
        <v>315368.13719250861</v>
      </c>
      <c r="F26" s="665">
        <f>' FOCO INCREMENTO'!F26+' FOCO ESTIMACION'!F26</f>
        <v>315792.06973375514</v>
      </c>
      <c r="G26" s="665">
        <f>' FOCO INCREMENTO'!G26+' FOCO ESTIMACION'!G26</f>
        <v>315117.01965127705</v>
      </c>
      <c r="H26" s="665">
        <f>' FOCO INCREMENTO'!H26+' FOCO ESTIMACION'!H26</f>
        <v>315537.27775314171</v>
      </c>
      <c r="I26" s="665">
        <f>' FOCO INCREMENTO'!I26+' FOCO ESTIMACION'!I26</f>
        <v>315159.92563456518</v>
      </c>
      <c r="J26" s="665">
        <f>' FOCO INCREMENTO'!J26+' FOCO ESTIMACION'!J26</f>
        <v>315238.57911175233</v>
      </c>
      <c r="K26" s="665">
        <f>' FOCO INCREMENTO'!K26+' FOCO ESTIMACION'!K26</f>
        <v>315725.11689246987</v>
      </c>
      <c r="L26" s="665">
        <f>' FOCO INCREMENTO'!L26+' FOCO ESTIMACION'!L26</f>
        <v>315192.89775001869</v>
      </c>
      <c r="M26" s="665">
        <f>' FOCO INCREMENTO'!M26+' FOCO ESTIMACION'!M26</f>
        <v>315584.92193866777</v>
      </c>
      <c r="N26" s="665">
        <f>' FOCO INCREMENTO'!N26+' FOCO ESTIMACION'!N26</f>
        <v>318286.81764063152</v>
      </c>
      <c r="O26" s="666">
        <f t="shared" si="0"/>
        <v>3790302.1002448555</v>
      </c>
      <c r="P26" s="667"/>
    </row>
    <row r="27" spans="1:16" ht="13.5" thickBot="1" x14ac:dyDescent="0.25">
      <c r="A27" s="668" t="s">
        <v>290</v>
      </c>
      <c r="B27" s="669">
        <f>SUM(B7:B26)</f>
        <v>0</v>
      </c>
      <c r="C27" s="670">
        <f>SUM(C7:C26)</f>
        <v>8049883.0500000007</v>
      </c>
      <c r="D27" s="670">
        <f t="shared" ref="D27:N27" si="1">SUM(D7:D26)</f>
        <v>8049883.0500000007</v>
      </c>
      <c r="E27" s="670">
        <f t="shared" si="1"/>
        <v>8049883.0499999998</v>
      </c>
      <c r="F27" s="670">
        <f t="shared" si="1"/>
        <v>8049883.0499999998</v>
      </c>
      <c r="G27" s="670">
        <f t="shared" si="1"/>
        <v>8049883.049999998</v>
      </c>
      <c r="H27" s="670">
        <f t="shared" si="1"/>
        <v>8049883.0500000026</v>
      </c>
      <c r="I27" s="670">
        <f t="shared" si="1"/>
        <v>8049883.0500000007</v>
      </c>
      <c r="J27" s="670">
        <f t="shared" si="1"/>
        <v>8049883.0499999989</v>
      </c>
      <c r="K27" s="670">
        <f t="shared" si="1"/>
        <v>8049883.0499999989</v>
      </c>
      <c r="L27" s="670">
        <f t="shared" si="1"/>
        <v>8049883.0500000007</v>
      </c>
      <c r="M27" s="670">
        <f t="shared" si="1"/>
        <v>8049883.0500000026</v>
      </c>
      <c r="N27" s="670">
        <f t="shared" si="1"/>
        <v>8049883.0499999998</v>
      </c>
      <c r="O27" s="670">
        <f>SUM(C27:N27)</f>
        <v>96598596.599999994</v>
      </c>
    </row>
    <row r="28" spans="1:16" x14ac:dyDescent="0.2">
      <c r="A28" s="671"/>
      <c r="B28" s="671"/>
      <c r="C28" s="671"/>
      <c r="D28" s="671"/>
      <c r="E28" s="671"/>
      <c r="F28" s="671"/>
      <c r="G28" s="671"/>
      <c r="H28" s="671"/>
      <c r="I28" s="671"/>
      <c r="J28" s="671"/>
      <c r="K28" s="671"/>
      <c r="L28" s="671"/>
      <c r="M28" s="671"/>
      <c r="N28" s="671"/>
      <c r="O28" s="671"/>
    </row>
    <row r="29" spans="1:16" x14ac:dyDescent="0.2">
      <c r="A29" s="672" t="s">
        <v>291</v>
      </c>
      <c r="O29" s="667"/>
    </row>
  </sheetData>
  <mergeCells count="4">
    <mergeCell ref="A1:O1"/>
    <mergeCell ref="A2:O2"/>
    <mergeCell ref="A3:O3"/>
    <mergeCell ref="A4:O4"/>
  </mergeCells>
  <printOptions horizontalCentered="1"/>
  <pageMargins left="0.78740157480314965" right="0.78740157480314965" top="0.98425196850393704" bottom="0.98425196850393704" header="0" footer="0"/>
  <pageSetup paperSize="5" scale="9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tabColor rgb="FFFFFF00"/>
  </sheetPr>
  <dimension ref="A1:O32"/>
  <sheetViews>
    <sheetView workbookViewId="0">
      <selection activeCell="I12" sqref="I12:K12"/>
    </sheetView>
  </sheetViews>
  <sheetFormatPr baseColWidth="10" defaultRowHeight="12.75" x14ac:dyDescent="0.2"/>
  <cols>
    <col min="1" max="1" width="16.5703125" style="658" customWidth="1"/>
    <col min="2" max="2" width="9.28515625" style="658" bestFit="1" customWidth="1"/>
    <col min="3" max="14" width="11.7109375" style="658" bestFit="1" customWidth="1"/>
    <col min="15" max="15" width="13" style="658" bestFit="1" customWidth="1"/>
    <col min="16" max="16384" width="11.42578125" style="658"/>
  </cols>
  <sheetData>
    <row r="1" spans="1:15" ht="15.75" x14ac:dyDescent="0.25">
      <c r="A1" s="1019" t="s">
        <v>279</v>
      </c>
      <c r="B1" s="1019"/>
      <c r="C1" s="1019"/>
      <c r="D1" s="1019"/>
      <c r="E1" s="1019"/>
      <c r="F1" s="1019"/>
      <c r="G1" s="1019"/>
      <c r="H1" s="1019"/>
      <c r="I1" s="1019"/>
      <c r="J1" s="1019"/>
      <c r="K1" s="1019"/>
      <c r="L1" s="1019"/>
      <c r="M1" s="1019"/>
      <c r="N1" s="1019"/>
      <c r="O1" s="1019"/>
    </row>
    <row r="2" spans="1:15" x14ac:dyDescent="0.2">
      <c r="A2" s="1020" t="s">
        <v>280</v>
      </c>
      <c r="B2" s="1020"/>
      <c r="C2" s="1020"/>
      <c r="D2" s="1020"/>
      <c r="E2" s="1020"/>
      <c r="F2" s="1020"/>
      <c r="G2" s="1020"/>
      <c r="H2" s="1020"/>
      <c r="I2" s="1020"/>
      <c r="J2" s="1020"/>
      <c r="K2" s="1020"/>
      <c r="L2" s="1020"/>
      <c r="M2" s="1020"/>
      <c r="N2" s="1020"/>
      <c r="O2" s="1020"/>
    </row>
    <row r="3" spans="1:15" x14ac:dyDescent="0.2">
      <c r="A3" s="1020" t="s">
        <v>281</v>
      </c>
      <c r="B3" s="1020"/>
      <c r="C3" s="1020"/>
      <c r="D3" s="1020"/>
      <c r="E3" s="1020"/>
      <c r="F3" s="1020"/>
      <c r="G3" s="1020"/>
      <c r="H3" s="1020"/>
      <c r="I3" s="1020"/>
      <c r="J3" s="1020"/>
      <c r="K3" s="1020"/>
      <c r="L3" s="1020"/>
      <c r="M3" s="1020"/>
      <c r="N3" s="1020"/>
      <c r="O3" s="1020"/>
    </row>
    <row r="4" spans="1:15" x14ac:dyDescent="0.2">
      <c r="A4" s="1021" t="s">
        <v>358</v>
      </c>
      <c r="B4" s="1021"/>
      <c r="C4" s="1021"/>
      <c r="D4" s="1021"/>
      <c r="E4" s="1021"/>
      <c r="F4" s="1021"/>
      <c r="G4" s="1021"/>
      <c r="H4" s="1021"/>
      <c r="I4" s="1021"/>
      <c r="J4" s="1021"/>
      <c r="K4" s="1021"/>
      <c r="L4" s="1021"/>
      <c r="M4" s="1021"/>
      <c r="N4" s="1021"/>
      <c r="O4" s="1021"/>
    </row>
    <row r="5" spans="1:15" ht="13.5" thickBot="1" x14ac:dyDescent="0.25"/>
    <row r="6" spans="1:15" ht="34.5" thickBot="1" x14ac:dyDescent="0.25">
      <c r="A6" s="659" t="s">
        <v>351</v>
      </c>
      <c r="B6" s="660" t="s">
        <v>359</v>
      </c>
      <c r="C6" s="659" t="s">
        <v>1</v>
      </c>
      <c r="D6" s="661" t="s">
        <v>2</v>
      </c>
      <c r="E6" s="659" t="s">
        <v>3</v>
      </c>
      <c r="F6" s="661" t="s">
        <v>4</v>
      </c>
      <c r="G6" s="659" t="s">
        <v>5</v>
      </c>
      <c r="H6" s="659" t="s">
        <v>6</v>
      </c>
      <c r="I6" s="659" t="s">
        <v>7</v>
      </c>
      <c r="J6" s="661" t="s">
        <v>8</v>
      </c>
      <c r="K6" s="659" t="s">
        <v>9</v>
      </c>
      <c r="L6" s="661" t="s">
        <v>10</v>
      </c>
      <c r="M6" s="659" t="s">
        <v>11</v>
      </c>
      <c r="N6" s="659" t="s">
        <v>12</v>
      </c>
      <c r="O6" s="662" t="s">
        <v>169</v>
      </c>
    </row>
    <row r="7" spans="1:15" x14ac:dyDescent="0.2">
      <c r="A7" s="663" t="s">
        <v>284</v>
      </c>
      <c r="B7" s="689">
        <v>3.2030259999999999</v>
      </c>
      <c r="C7" s="690">
        <f t="shared" ref="C7:C26" si="0">$C$32*B7/100</f>
        <v>71921.637981858948</v>
      </c>
      <c r="D7" s="691">
        <f t="shared" ref="D7:D26" si="1">$D$32*B7/100</f>
        <v>70772.847172563343</v>
      </c>
      <c r="E7" s="690">
        <f t="shared" ref="E7:E26" si="2">$E$32*B7/100</f>
        <v>45291.942615067725</v>
      </c>
      <c r="F7" s="691">
        <f t="shared" ref="F7:F26" si="3">$F$32*B7/100</f>
        <v>53911.076376175683</v>
      </c>
      <c r="G7" s="690">
        <f t="shared" ref="G7:G26" si="4">$G$32*B7/100</f>
        <v>40186.376358533569</v>
      </c>
      <c r="H7" s="690">
        <f t="shared" ref="H7:H26" si="5">$H$32*B7/100</f>
        <v>48730.803694800568</v>
      </c>
      <c r="I7" s="692">
        <f t="shared" ref="I7:I26" si="6">$I$32*B7/100</f>
        <v>41058.714226310505</v>
      </c>
      <c r="J7" s="691">
        <f t="shared" ref="J7:J26" si="7">$J$32*B7/100</f>
        <v>42657.84799098572</v>
      </c>
      <c r="K7" s="690">
        <f t="shared" ref="K7:K26" si="8">$K$32*B7/100</f>
        <v>52549.832690972602</v>
      </c>
      <c r="L7" s="691">
        <f t="shared" ref="L7:L26" si="9">$L$32*B7/100</f>
        <v>41729.08284827233</v>
      </c>
      <c r="M7" s="690">
        <f t="shared" ref="M7:M26" si="10">$M$32*B7/100</f>
        <v>49699.475754700528</v>
      </c>
      <c r="N7" s="690">
        <f t="shared" ref="N7:N26" si="11">$N$32*B7/100</f>
        <v>104632.74507937455</v>
      </c>
      <c r="O7" s="693">
        <f>SUM(C7:N7)</f>
        <v>663142.38278961612</v>
      </c>
    </row>
    <row r="8" spans="1:15" x14ac:dyDescent="0.2">
      <c r="A8" s="663" t="s">
        <v>148</v>
      </c>
      <c r="B8" s="694">
        <v>3.264907</v>
      </c>
      <c r="C8" s="690">
        <f t="shared" si="0"/>
        <v>73311.131192327855</v>
      </c>
      <c r="D8" s="691">
        <f t="shared" si="1"/>
        <v>72140.146269069402</v>
      </c>
      <c r="E8" s="690">
        <f t="shared" si="2"/>
        <v>46166.962268658746</v>
      </c>
      <c r="F8" s="691">
        <f t="shared" si="3"/>
        <v>54952.613759023698</v>
      </c>
      <c r="G8" s="690">
        <f t="shared" si="4"/>
        <v>40962.758802960314</v>
      </c>
      <c r="H8" s="690">
        <f t="shared" si="5"/>
        <v>49672.260574463093</v>
      </c>
      <c r="I8" s="690">
        <f t="shared" si="6"/>
        <v>41851.949840082707</v>
      </c>
      <c r="J8" s="691">
        <f t="shared" si="7"/>
        <v>43481.978139017672</v>
      </c>
      <c r="K8" s="690">
        <f t="shared" si="8"/>
        <v>53565.071467289141</v>
      </c>
      <c r="L8" s="691">
        <f t="shared" si="9"/>
        <v>42535.269677768549</v>
      </c>
      <c r="M8" s="690">
        <f t="shared" si="10"/>
        <v>50659.646936319601</v>
      </c>
      <c r="N8" s="690">
        <f t="shared" si="11"/>
        <v>106654.20194493129</v>
      </c>
      <c r="O8" s="693">
        <f t="shared" ref="O8:O26" si="12">SUM(C8:N8)</f>
        <v>675953.9908719121</v>
      </c>
    </row>
    <row r="9" spans="1:15" x14ac:dyDescent="0.2">
      <c r="A9" s="663" t="s">
        <v>149</v>
      </c>
      <c r="B9" s="694">
        <v>3.824595</v>
      </c>
      <c r="C9" s="690">
        <f t="shared" si="0"/>
        <v>85878.521441046003</v>
      </c>
      <c r="D9" s="691">
        <f t="shared" si="1"/>
        <v>84506.799954777118</v>
      </c>
      <c r="E9" s="690">
        <f t="shared" si="2"/>
        <v>54081.152405842149</v>
      </c>
      <c r="F9" s="691">
        <f t="shared" si="3"/>
        <v>64372.887748316636</v>
      </c>
      <c r="G9" s="690">
        <f t="shared" si="4"/>
        <v>47984.81626092505</v>
      </c>
      <c r="H9" s="690">
        <f t="shared" si="5"/>
        <v>58187.347888251854</v>
      </c>
      <c r="I9" s="690">
        <f t="shared" si="6"/>
        <v>49026.437230411495</v>
      </c>
      <c r="J9" s="691">
        <f t="shared" si="7"/>
        <v>50935.893788275214</v>
      </c>
      <c r="K9" s="690">
        <f t="shared" si="8"/>
        <v>62747.485459290787</v>
      </c>
      <c r="L9" s="691">
        <f t="shared" si="9"/>
        <v>49826.895447020448</v>
      </c>
      <c r="M9" s="690">
        <f t="shared" si="10"/>
        <v>59343.997355640837</v>
      </c>
      <c r="N9" s="690">
        <f t="shared" si="11"/>
        <v>124937.44155272249</v>
      </c>
      <c r="O9" s="693">
        <f t="shared" si="12"/>
        <v>791829.67653251998</v>
      </c>
    </row>
    <row r="10" spans="1:15" x14ac:dyDescent="0.2">
      <c r="A10" s="663" t="s">
        <v>285</v>
      </c>
      <c r="B10" s="694">
        <v>9.1514749999999996</v>
      </c>
      <c r="C10" s="690">
        <f t="shared" si="0"/>
        <v>205489.76872183758</v>
      </c>
      <c r="D10" s="691">
        <f t="shared" si="1"/>
        <v>202207.51925789367</v>
      </c>
      <c r="E10" s="690">
        <f t="shared" si="2"/>
        <v>129405.15641871997</v>
      </c>
      <c r="F10" s="691">
        <f t="shared" si="3"/>
        <v>154031.17791727648</v>
      </c>
      <c r="G10" s="690">
        <f t="shared" si="4"/>
        <v>114817.86866098216</v>
      </c>
      <c r="H10" s="690">
        <f t="shared" si="5"/>
        <v>139230.4438811533</v>
      </c>
      <c r="I10" s="690">
        <f t="shared" si="6"/>
        <v>117310.25498207787</v>
      </c>
      <c r="J10" s="691">
        <f t="shared" si="7"/>
        <v>121879.19468755669</v>
      </c>
      <c r="K10" s="690">
        <f t="shared" si="8"/>
        <v>150141.92208418492</v>
      </c>
      <c r="L10" s="691">
        <f t="shared" si="9"/>
        <v>119225.58807168377</v>
      </c>
      <c r="M10" s="690">
        <f t="shared" si="10"/>
        <v>141998.0699133407</v>
      </c>
      <c r="N10" s="690">
        <f t="shared" si="11"/>
        <v>298949.79022189305</v>
      </c>
      <c r="O10" s="693">
        <f t="shared" si="12"/>
        <v>1894686.7548185999</v>
      </c>
    </row>
    <row r="11" spans="1:15" x14ac:dyDescent="0.2">
      <c r="A11" s="663" t="s">
        <v>151</v>
      </c>
      <c r="B11" s="694">
        <v>4.9659690000000003</v>
      </c>
      <c r="C11" s="690">
        <f t="shared" si="0"/>
        <v>111507.25115785327</v>
      </c>
      <c r="D11" s="691">
        <f t="shared" si="1"/>
        <v>109726.16678749635</v>
      </c>
      <c r="E11" s="690">
        <f t="shared" si="2"/>
        <v>70220.592332439788</v>
      </c>
      <c r="F11" s="691">
        <f t="shared" si="3"/>
        <v>83583.690560339135</v>
      </c>
      <c r="G11" s="690">
        <f t="shared" si="4"/>
        <v>62304.92640984201</v>
      </c>
      <c r="H11" s="690">
        <f t="shared" si="5"/>
        <v>75552.199855219747</v>
      </c>
      <c r="I11" s="690">
        <f t="shared" si="6"/>
        <v>63657.398356340833</v>
      </c>
      <c r="J11" s="691">
        <f t="shared" si="7"/>
        <v>66136.694091758036</v>
      </c>
      <c r="K11" s="690">
        <f t="shared" si="8"/>
        <v>81473.219417687069</v>
      </c>
      <c r="L11" s="691">
        <f t="shared" si="9"/>
        <v>64696.737342423097</v>
      </c>
      <c r="M11" s="690">
        <f t="shared" si="10"/>
        <v>77054.028257683342</v>
      </c>
      <c r="N11" s="690">
        <f t="shared" si="11"/>
        <v>162222.52596422154</v>
      </c>
      <c r="O11" s="693">
        <f t="shared" si="12"/>
        <v>1028135.4305333042</v>
      </c>
    </row>
    <row r="12" spans="1:15" x14ac:dyDescent="0.2">
      <c r="A12" s="663" t="s">
        <v>286</v>
      </c>
      <c r="B12" s="694">
        <v>3.3901029999999999</v>
      </c>
      <c r="C12" s="690">
        <f t="shared" si="0"/>
        <v>76122.317048695186</v>
      </c>
      <c r="D12" s="691">
        <f t="shared" si="1"/>
        <v>74906.429581979202</v>
      </c>
      <c r="E12" s="690">
        <f t="shared" si="2"/>
        <v>47937.278852925003</v>
      </c>
      <c r="F12" s="691">
        <f t="shared" si="3"/>
        <v>57059.824602142573</v>
      </c>
      <c r="G12" s="690">
        <f t="shared" si="4"/>
        <v>42533.515198500958</v>
      </c>
      <c r="H12" s="690">
        <f t="shared" si="5"/>
        <v>51576.991194624854</v>
      </c>
      <c r="I12" s="690">
        <f t="shared" si="6"/>
        <v>43456.803121410172</v>
      </c>
      <c r="J12" s="691">
        <f t="shared" si="7"/>
        <v>45149.336423677065</v>
      </c>
      <c r="K12" s="690">
        <f t="shared" si="8"/>
        <v>55619.075666311874</v>
      </c>
      <c r="L12" s="691">
        <f t="shared" si="9"/>
        <v>44166.325515676916</v>
      </c>
      <c r="M12" s="690">
        <f t="shared" si="10"/>
        <v>52602.23983646636</v>
      </c>
      <c r="N12" s="690">
        <f t="shared" si="11"/>
        <v>110743.9599278379</v>
      </c>
      <c r="O12" s="693">
        <f t="shared" si="12"/>
        <v>701874.09697024815</v>
      </c>
    </row>
    <row r="13" spans="1:15" x14ac:dyDescent="0.2">
      <c r="A13" s="663" t="s">
        <v>153</v>
      </c>
      <c r="B13" s="694">
        <v>3.6809609999999999</v>
      </c>
      <c r="C13" s="690">
        <f t="shared" si="0"/>
        <v>82653.323596917879</v>
      </c>
      <c r="D13" s="691">
        <f t="shared" si="1"/>
        <v>81333.117589793517</v>
      </c>
      <c r="E13" s="690">
        <f t="shared" si="2"/>
        <v>52050.115853040945</v>
      </c>
      <c r="F13" s="691">
        <f t="shared" si="3"/>
        <v>61955.341482936463</v>
      </c>
      <c r="G13" s="690">
        <f t="shared" si="4"/>
        <v>46182.729739653718</v>
      </c>
      <c r="H13" s="690">
        <f t="shared" si="5"/>
        <v>56002.101731055816</v>
      </c>
      <c r="I13" s="690">
        <f t="shared" si="6"/>
        <v>47185.23227010775</v>
      </c>
      <c r="J13" s="691">
        <f t="shared" si="7"/>
        <v>49022.978520544879</v>
      </c>
      <c r="K13" s="690">
        <f t="shared" si="8"/>
        <v>60390.981744136698</v>
      </c>
      <c r="L13" s="691">
        <f t="shared" si="9"/>
        <v>47955.628999033841</v>
      </c>
      <c r="M13" s="690">
        <f t="shared" si="10"/>
        <v>57115.312824028966</v>
      </c>
      <c r="N13" s="690">
        <f t="shared" si="11"/>
        <v>120245.37233232563</v>
      </c>
      <c r="O13" s="693">
        <f t="shared" si="12"/>
        <v>762092.23668357613</v>
      </c>
    </row>
    <row r="14" spans="1:15" x14ac:dyDescent="0.2">
      <c r="A14" s="663" t="s">
        <v>154</v>
      </c>
      <c r="B14" s="694">
        <v>3.0013230000000002</v>
      </c>
      <c r="C14" s="690">
        <f t="shared" si="0"/>
        <v>67392.542637064718</v>
      </c>
      <c r="D14" s="691">
        <f t="shared" si="1"/>
        <v>66316.094216687387</v>
      </c>
      <c r="E14" s="690">
        <f t="shared" si="2"/>
        <v>42439.789463239744</v>
      </c>
      <c r="F14" s="691">
        <f t="shared" si="3"/>
        <v>50516.153625531842</v>
      </c>
      <c r="G14" s="690">
        <f t="shared" si="4"/>
        <v>37655.734187459944</v>
      </c>
      <c r="H14" s="690">
        <f t="shared" si="5"/>
        <v>45662.096385633435</v>
      </c>
      <c r="I14" s="690">
        <f t="shared" si="6"/>
        <v>38473.138637604861</v>
      </c>
      <c r="J14" s="691">
        <f t="shared" si="7"/>
        <v>39971.570729007268</v>
      </c>
      <c r="K14" s="690">
        <f t="shared" si="8"/>
        <v>49240.631047505689</v>
      </c>
      <c r="L14" s="691">
        <f t="shared" si="9"/>
        <v>39101.292378340127</v>
      </c>
      <c r="M14" s="690">
        <f t="shared" si="10"/>
        <v>46569.768609597624</v>
      </c>
      <c r="N14" s="690">
        <f t="shared" si="11"/>
        <v>98043.744996095469</v>
      </c>
      <c r="O14" s="693">
        <f t="shared" si="12"/>
        <v>621382.55691376817</v>
      </c>
    </row>
    <row r="15" spans="1:15" x14ac:dyDescent="0.2">
      <c r="A15" s="663" t="s">
        <v>155</v>
      </c>
      <c r="B15" s="694">
        <v>3.092673</v>
      </c>
      <c r="C15" s="690">
        <f t="shared" si="0"/>
        <v>69443.740981893265</v>
      </c>
      <c r="D15" s="691">
        <f t="shared" si="1"/>
        <v>68334.529155777389</v>
      </c>
      <c r="E15" s="690">
        <f t="shared" si="2"/>
        <v>43731.511403019947</v>
      </c>
      <c r="F15" s="691">
        <f t="shared" si="3"/>
        <v>52053.692448808215</v>
      </c>
      <c r="G15" s="690">
        <f t="shared" si="4"/>
        <v>38801.845858221284</v>
      </c>
      <c r="H15" s="690">
        <f t="shared" si="5"/>
        <v>47051.89431968706</v>
      </c>
      <c r="I15" s="690">
        <f t="shared" si="6"/>
        <v>39644.129302236819</v>
      </c>
      <c r="J15" s="691">
        <f t="shared" si="7"/>
        <v>41188.168538071739</v>
      </c>
      <c r="K15" s="690">
        <f t="shared" si="8"/>
        <v>50739.347329022094</v>
      </c>
      <c r="L15" s="691">
        <f t="shared" si="9"/>
        <v>40291.401892964634</v>
      </c>
      <c r="M15" s="690">
        <f t="shared" si="10"/>
        <v>47987.192979612693</v>
      </c>
      <c r="N15" s="690">
        <f t="shared" si="11"/>
        <v>101027.86103605294</v>
      </c>
      <c r="O15" s="693">
        <f t="shared" si="12"/>
        <v>640295.31524536805</v>
      </c>
    </row>
    <row r="16" spans="1:15" x14ac:dyDescent="0.2">
      <c r="A16" s="663" t="s">
        <v>156</v>
      </c>
      <c r="B16" s="694">
        <v>3.4332199999999999</v>
      </c>
      <c r="C16" s="690">
        <f t="shared" si="0"/>
        <v>77090.478176598554</v>
      </c>
      <c r="D16" s="691">
        <f t="shared" si="1"/>
        <v>75859.126454105557</v>
      </c>
      <c r="E16" s="690">
        <f t="shared" si="2"/>
        <v>48546.968780429139</v>
      </c>
      <c r="F16" s="691">
        <f t="shared" si="3"/>
        <v>57785.539560469966</v>
      </c>
      <c r="G16" s="690">
        <f t="shared" si="4"/>
        <v>43074.47739782463</v>
      </c>
      <c r="H16" s="690">
        <f t="shared" si="5"/>
        <v>52232.972776700277</v>
      </c>
      <c r="I16" s="690">
        <f t="shared" si="6"/>
        <v>44009.508151371163</v>
      </c>
      <c r="J16" s="691">
        <f t="shared" si="7"/>
        <v>45723.567925958763</v>
      </c>
      <c r="K16" s="690">
        <f t="shared" si="8"/>
        <v>56326.466469925923</v>
      </c>
      <c r="L16" s="691">
        <f t="shared" si="9"/>
        <v>44728.05460097592</v>
      </c>
      <c r="M16" s="690">
        <f t="shared" si="10"/>
        <v>53271.261035830787</v>
      </c>
      <c r="N16" s="690">
        <f t="shared" si="11"/>
        <v>112152.45616532938</v>
      </c>
      <c r="O16" s="693">
        <f t="shared" si="12"/>
        <v>710800.87749552005</v>
      </c>
    </row>
    <row r="17" spans="1:15" x14ac:dyDescent="0.2">
      <c r="A17" s="663" t="s">
        <v>157</v>
      </c>
      <c r="B17" s="694">
        <v>3.1007349999999998</v>
      </c>
      <c r="C17" s="690">
        <f t="shared" si="0"/>
        <v>69624.767375500349</v>
      </c>
      <c r="D17" s="691">
        <f t="shared" si="1"/>
        <v>68512.664048814535</v>
      </c>
      <c r="E17" s="690">
        <f t="shared" si="2"/>
        <v>43845.510990086266</v>
      </c>
      <c r="F17" s="691">
        <f t="shared" si="3"/>
        <v>52189.386351306894</v>
      </c>
      <c r="G17" s="690">
        <f t="shared" si="4"/>
        <v>38902.994761228161</v>
      </c>
      <c r="H17" s="690">
        <f t="shared" si="5"/>
        <v>47174.549502438444</v>
      </c>
      <c r="I17" s="690">
        <f t="shared" si="6"/>
        <v>39747.473875178941</v>
      </c>
      <c r="J17" s="691">
        <f t="shared" si="7"/>
        <v>41295.538122490761</v>
      </c>
      <c r="K17" s="690">
        <f t="shared" si="8"/>
        <v>50871.614988152738</v>
      </c>
      <c r="L17" s="691">
        <f t="shared" si="9"/>
        <v>40396.433780287043</v>
      </c>
      <c r="M17" s="690">
        <f t="shared" si="10"/>
        <v>48112.286304966408</v>
      </c>
      <c r="N17" s="690">
        <f t="shared" si="11"/>
        <v>101291.22111830952</v>
      </c>
      <c r="O17" s="693">
        <f t="shared" si="12"/>
        <v>641964.4412187601</v>
      </c>
    </row>
    <row r="18" spans="1:15" x14ac:dyDescent="0.2">
      <c r="A18" s="663" t="s">
        <v>158</v>
      </c>
      <c r="B18" s="694">
        <v>2.9619179999999998</v>
      </c>
      <c r="C18" s="690">
        <f t="shared" si="0"/>
        <v>66507.731791109924</v>
      </c>
      <c r="D18" s="691">
        <f t="shared" si="1"/>
        <v>65445.416288117704</v>
      </c>
      <c r="E18" s="690">
        <f t="shared" si="2"/>
        <v>41882.588554240952</v>
      </c>
      <c r="F18" s="691">
        <f t="shared" si="3"/>
        <v>49852.916435261388</v>
      </c>
      <c r="G18" s="690">
        <f t="shared" si="4"/>
        <v>37161.344144916417</v>
      </c>
      <c r="H18" s="690">
        <f t="shared" si="5"/>
        <v>45062.589132306857</v>
      </c>
      <c r="I18" s="690">
        <f t="shared" si="6"/>
        <v>37968.016720365413</v>
      </c>
      <c r="J18" s="691">
        <f t="shared" si="7"/>
        <v>39446.775582141519</v>
      </c>
      <c r="K18" s="690">
        <f t="shared" si="8"/>
        <v>48594.140461045325</v>
      </c>
      <c r="L18" s="691">
        <f t="shared" si="9"/>
        <v>38587.923298714741</v>
      </c>
      <c r="M18" s="690">
        <f t="shared" si="10"/>
        <v>45958.344337014772</v>
      </c>
      <c r="N18" s="690">
        <f t="shared" si="11"/>
        <v>96756.508077053033</v>
      </c>
      <c r="O18" s="693">
        <f t="shared" si="12"/>
        <v>613224.2948222881</v>
      </c>
    </row>
    <row r="19" spans="1:15" x14ac:dyDescent="0.2">
      <c r="A19" s="663" t="s">
        <v>159</v>
      </c>
      <c r="B19" s="694">
        <v>3.4479410000000001</v>
      </c>
      <c r="C19" s="690">
        <f t="shared" si="0"/>
        <v>77421.027611018057</v>
      </c>
      <c r="D19" s="691">
        <f t="shared" si="1"/>
        <v>76184.396084519845</v>
      </c>
      <c r="E19" s="690">
        <f t="shared" si="2"/>
        <v>48755.129028655792</v>
      </c>
      <c r="F19" s="691">
        <f t="shared" si="3"/>
        <v>58033.313058197964</v>
      </c>
      <c r="G19" s="690">
        <f t="shared" si="4"/>
        <v>43259.172634882954</v>
      </c>
      <c r="H19" s="690">
        <f t="shared" si="5"/>
        <v>52456.937915038579</v>
      </c>
      <c r="I19" s="690">
        <f t="shared" si="6"/>
        <v>44198.212623993466</v>
      </c>
      <c r="J19" s="691">
        <f t="shared" si="7"/>
        <v>45919.621963695361</v>
      </c>
      <c r="K19" s="690">
        <f t="shared" si="8"/>
        <v>56567.983737361094</v>
      </c>
      <c r="L19" s="691">
        <f t="shared" si="9"/>
        <v>44919.840065286684</v>
      </c>
      <c r="M19" s="690">
        <f t="shared" si="10"/>
        <v>53499.678158447008</v>
      </c>
      <c r="N19" s="690">
        <f t="shared" si="11"/>
        <v>112633.3447501593</v>
      </c>
      <c r="O19" s="693">
        <f t="shared" si="12"/>
        <v>713848.65763125604</v>
      </c>
    </row>
    <row r="20" spans="1:15" x14ac:dyDescent="0.2">
      <c r="A20" s="663" t="s">
        <v>287</v>
      </c>
      <c r="B20" s="694">
        <v>5.378603</v>
      </c>
      <c r="C20" s="690">
        <f t="shared" si="0"/>
        <v>120772.649929829</v>
      </c>
      <c r="D20" s="691">
        <f t="shared" si="1"/>
        <v>118843.57108587028</v>
      </c>
      <c r="E20" s="690">
        <f t="shared" si="2"/>
        <v>76055.385883608542</v>
      </c>
      <c r="F20" s="691">
        <f t="shared" si="3"/>
        <v>90528.855254414942</v>
      </c>
      <c r="G20" s="690">
        <f t="shared" si="4"/>
        <v>67481.988732260608</v>
      </c>
      <c r="H20" s="690">
        <f t="shared" si="5"/>
        <v>81830.009167975964</v>
      </c>
      <c r="I20" s="690">
        <f t="shared" si="6"/>
        <v>68946.840741778666</v>
      </c>
      <c r="J20" s="691">
        <f t="shared" si="7"/>
        <v>71632.146969103516</v>
      </c>
      <c r="K20" s="690">
        <f t="shared" si="8"/>
        <v>88243.02011946305</v>
      </c>
      <c r="L20" s="691">
        <f t="shared" si="9"/>
        <v>70072.540839495559</v>
      </c>
      <c r="M20" s="690">
        <f t="shared" si="10"/>
        <v>83456.62801134288</v>
      </c>
      <c r="N20" s="690">
        <f t="shared" si="11"/>
        <v>175701.97575110511</v>
      </c>
      <c r="O20" s="693">
        <f t="shared" si="12"/>
        <v>1113565.6124862479</v>
      </c>
    </row>
    <row r="21" spans="1:15" x14ac:dyDescent="0.2">
      <c r="A21" s="663" t="s">
        <v>288</v>
      </c>
      <c r="B21" s="694">
        <v>2.9675240000000001</v>
      </c>
      <c r="C21" s="690">
        <f t="shared" si="0"/>
        <v>66633.610476617425</v>
      </c>
      <c r="D21" s="691">
        <f t="shared" si="1"/>
        <v>65569.284337034391</v>
      </c>
      <c r="E21" s="690">
        <f t="shared" si="2"/>
        <v>41961.859415701358</v>
      </c>
      <c r="F21" s="691">
        <f t="shared" si="3"/>
        <v>49947.272676567212</v>
      </c>
      <c r="G21" s="690">
        <f t="shared" si="4"/>
        <v>37231.679142467467</v>
      </c>
      <c r="H21" s="690">
        <f t="shared" si="5"/>
        <v>45147.878757028309</v>
      </c>
      <c r="I21" s="690">
        <f t="shared" si="6"/>
        <v>38039.878501054271</v>
      </c>
      <c r="J21" s="691">
        <f t="shared" si="7"/>
        <v>39521.43619864525</v>
      </c>
      <c r="K21" s="690">
        <f t="shared" si="8"/>
        <v>48686.114226498874</v>
      </c>
      <c r="L21" s="691">
        <f t="shared" si="9"/>
        <v>38660.958371938439</v>
      </c>
      <c r="M21" s="690">
        <f t="shared" si="10"/>
        <v>46045.329350898784</v>
      </c>
      <c r="N21" s="690">
        <f t="shared" si="11"/>
        <v>96939.638394732319</v>
      </c>
      <c r="O21" s="693">
        <f t="shared" si="12"/>
        <v>614384.93984918413</v>
      </c>
    </row>
    <row r="22" spans="1:15" x14ac:dyDescent="0.2">
      <c r="A22" s="663" t="s">
        <v>289</v>
      </c>
      <c r="B22" s="694">
        <v>6.17598</v>
      </c>
      <c r="C22" s="690">
        <f t="shared" si="0"/>
        <v>138677.17519096044</v>
      </c>
      <c r="D22" s="691">
        <f t="shared" si="1"/>
        <v>136462.11072929404</v>
      </c>
      <c r="E22" s="690">
        <f t="shared" si="2"/>
        <v>87330.584188765861</v>
      </c>
      <c r="F22" s="691">
        <f t="shared" si="3"/>
        <v>103949.74298608051</v>
      </c>
      <c r="G22" s="690">
        <f t="shared" si="4"/>
        <v>77486.182335946127</v>
      </c>
      <c r="H22" s="690">
        <f t="shared" si="5"/>
        <v>93961.294414411372</v>
      </c>
      <c r="I22" s="690">
        <f t="shared" si="6"/>
        <v>79168.198412191836</v>
      </c>
      <c r="J22" s="691">
        <f t="shared" si="7"/>
        <v>82251.60084100721</v>
      </c>
      <c r="K22" s="690">
        <f t="shared" si="8"/>
        <v>101325.03317262893</v>
      </c>
      <c r="L22" s="691">
        <f t="shared" si="9"/>
        <v>80460.783362130984</v>
      </c>
      <c r="M22" s="690">
        <f t="shared" si="10"/>
        <v>95829.059230713508</v>
      </c>
      <c r="N22" s="690">
        <f t="shared" si="11"/>
        <v>201749.76442754935</v>
      </c>
      <c r="O22" s="693">
        <f t="shared" si="12"/>
        <v>1278651.5292916803</v>
      </c>
    </row>
    <row r="23" spans="1:15" x14ac:dyDescent="0.2">
      <c r="A23" s="663" t="s">
        <v>163</v>
      </c>
      <c r="B23" s="694">
        <v>3.2856540000000001</v>
      </c>
      <c r="C23" s="690">
        <f t="shared" si="0"/>
        <v>73776.990109242557</v>
      </c>
      <c r="D23" s="691">
        <f t="shared" si="1"/>
        <v>72598.564109039842</v>
      </c>
      <c r="E23" s="690">
        <f t="shared" si="2"/>
        <v>46460.332329793062</v>
      </c>
      <c r="F23" s="691">
        <f t="shared" si="3"/>
        <v>55301.812642072582</v>
      </c>
      <c r="G23" s="690">
        <f t="shared" si="4"/>
        <v>41223.058516515717</v>
      </c>
      <c r="H23" s="690">
        <f t="shared" si="5"/>
        <v>49987.905213081707</v>
      </c>
      <c r="I23" s="690">
        <f t="shared" si="6"/>
        <v>42117.899958518603</v>
      </c>
      <c r="J23" s="691">
        <f t="shared" si="7"/>
        <v>43758.286346403118</v>
      </c>
      <c r="K23" s="690">
        <f t="shared" si="8"/>
        <v>53905.453149748042</v>
      </c>
      <c r="L23" s="691">
        <f t="shared" si="9"/>
        <v>42805.561983186322</v>
      </c>
      <c r="M23" s="690">
        <f t="shared" si="10"/>
        <v>50981.565966475078</v>
      </c>
      <c r="N23" s="690">
        <f t="shared" si="11"/>
        <v>107331.94092118744</v>
      </c>
      <c r="O23" s="693">
        <f t="shared" si="12"/>
        <v>680249.37124526408</v>
      </c>
    </row>
    <row r="24" spans="1:15" x14ac:dyDescent="0.2">
      <c r="A24" s="663" t="s">
        <v>164</v>
      </c>
      <c r="B24" s="694">
        <v>24.603714</v>
      </c>
      <c r="C24" s="690">
        <f t="shared" si="0"/>
        <v>552458.64732824359</v>
      </c>
      <c r="D24" s="691">
        <f t="shared" si="1"/>
        <v>543634.32916231628</v>
      </c>
      <c r="E24" s="690">
        <f t="shared" si="2"/>
        <v>347905.38778190955</v>
      </c>
      <c r="F24" s="691">
        <f t="shared" si="3"/>
        <v>414112.37517009943</v>
      </c>
      <c r="G24" s="690">
        <f t="shared" si="4"/>
        <v>308687.50694553257</v>
      </c>
      <c r="H24" s="690">
        <f t="shared" si="5"/>
        <v>374320.64463323628</v>
      </c>
      <c r="I24" s="690">
        <f t="shared" si="6"/>
        <v>315388.28034236218</v>
      </c>
      <c r="J24" s="691">
        <f t="shared" si="7"/>
        <v>327671.86149150436</v>
      </c>
      <c r="K24" s="690">
        <f t="shared" si="8"/>
        <v>403656.12214091932</v>
      </c>
      <c r="L24" s="691">
        <f t="shared" si="9"/>
        <v>320537.64779967372</v>
      </c>
      <c r="M24" s="690">
        <f t="shared" si="10"/>
        <v>381761.39919519419</v>
      </c>
      <c r="N24" s="690">
        <f t="shared" si="11"/>
        <v>803725.6441152331</v>
      </c>
      <c r="O24" s="693">
        <f t="shared" si="12"/>
        <v>5093859.8461062256</v>
      </c>
    </row>
    <row r="25" spans="1:15" x14ac:dyDescent="0.2">
      <c r="A25" s="663" t="s">
        <v>165</v>
      </c>
      <c r="B25" s="694">
        <v>3.022138</v>
      </c>
      <c r="C25" s="690">
        <f t="shared" si="0"/>
        <v>67859.928444920282</v>
      </c>
      <c r="D25" s="691">
        <f t="shared" si="1"/>
        <v>66776.014558856608</v>
      </c>
      <c r="E25" s="690">
        <f t="shared" si="2"/>
        <v>42734.121068894092</v>
      </c>
      <c r="F25" s="691">
        <f t="shared" si="3"/>
        <v>50866.497036659348</v>
      </c>
      <c r="G25" s="690">
        <f t="shared" si="4"/>
        <v>37916.887054749459</v>
      </c>
      <c r="H25" s="690">
        <f t="shared" si="5"/>
        <v>45978.775575533007</v>
      </c>
      <c r="I25" s="690">
        <f t="shared" si="6"/>
        <v>38739.960429441904</v>
      </c>
      <c r="J25" s="691">
        <f t="shared" si="7"/>
        <v>40248.784559282882</v>
      </c>
      <c r="K25" s="690">
        <f t="shared" si="8"/>
        <v>49582.128358942624</v>
      </c>
      <c r="L25" s="691">
        <f t="shared" si="9"/>
        <v>39372.470589034252</v>
      </c>
      <c r="M25" s="690">
        <f t="shared" si="10"/>
        <v>46892.742755868712</v>
      </c>
      <c r="N25" s="690">
        <f t="shared" si="11"/>
        <v>98723.705317624917</v>
      </c>
      <c r="O25" s="693">
        <f t="shared" si="12"/>
        <v>625692.01574980817</v>
      </c>
    </row>
    <row r="26" spans="1:15" ht="13.5" thickBot="1" x14ac:dyDescent="0.25">
      <c r="A26" s="663" t="s">
        <v>166</v>
      </c>
      <c r="B26" s="695">
        <v>4.0475409999999998</v>
      </c>
      <c r="C26" s="690">
        <f t="shared" si="0"/>
        <v>90884.613024911858</v>
      </c>
      <c r="D26" s="691">
        <f t="shared" si="1"/>
        <v>89432.930178426337</v>
      </c>
      <c r="E26" s="690">
        <f t="shared" si="2"/>
        <v>57233.689237656472</v>
      </c>
      <c r="F26" s="691">
        <f t="shared" si="3"/>
        <v>68125.357704465248</v>
      </c>
      <c r="G26" s="690">
        <f t="shared" si="4"/>
        <v>50781.981149261774</v>
      </c>
      <c r="H26" s="690">
        <f t="shared" si="5"/>
        <v>61579.24597479283</v>
      </c>
      <c r="I26" s="696">
        <f t="shared" si="6"/>
        <v>51884.321025890851</v>
      </c>
      <c r="J26" s="691">
        <f t="shared" si="7"/>
        <v>53905.08497754384</v>
      </c>
      <c r="K26" s="690">
        <f t="shared" si="8"/>
        <v>66405.206314232826</v>
      </c>
      <c r="L26" s="691">
        <f t="shared" si="9"/>
        <v>52731.440119680272</v>
      </c>
      <c r="M26" s="690">
        <f t="shared" si="10"/>
        <v>62803.319671977784</v>
      </c>
      <c r="N26" s="690">
        <f t="shared" si="11"/>
        <v>132220.383366016</v>
      </c>
      <c r="O26" s="693">
        <f t="shared" si="12"/>
        <v>837987.57274485601</v>
      </c>
    </row>
    <row r="27" spans="1:15" ht="13.5" thickBot="1" x14ac:dyDescent="0.25">
      <c r="A27" s="668" t="s">
        <v>290</v>
      </c>
      <c r="B27" s="697">
        <f>SUM(B7:B26)</f>
        <v>99.999999999999972</v>
      </c>
      <c r="C27" s="698">
        <f>SUM(C7:C26)</f>
        <v>2245427.8542184466</v>
      </c>
      <c r="D27" s="698">
        <f t="shared" ref="D27:N27" si="13">SUM(D7:D26)</f>
        <v>2209562.0570224328</v>
      </c>
      <c r="E27" s="698">
        <f t="shared" si="13"/>
        <v>1414036.0588726953</v>
      </c>
      <c r="F27" s="698">
        <f t="shared" si="13"/>
        <v>1683129.527396146</v>
      </c>
      <c r="G27" s="698">
        <f t="shared" si="13"/>
        <v>1254637.8442926651</v>
      </c>
      <c r="H27" s="698">
        <f t="shared" si="13"/>
        <v>1521398.9425874334</v>
      </c>
      <c r="I27" s="698">
        <f t="shared" si="13"/>
        <v>1281872.6487487303</v>
      </c>
      <c r="J27" s="698">
        <f t="shared" si="13"/>
        <v>1331798.3678866709</v>
      </c>
      <c r="K27" s="698">
        <f t="shared" si="13"/>
        <v>1640630.8500453199</v>
      </c>
      <c r="L27" s="698">
        <f t="shared" si="13"/>
        <v>1302801.8769835879</v>
      </c>
      <c r="M27" s="698">
        <f t="shared" si="13"/>
        <v>1551641.3464861207</v>
      </c>
      <c r="N27" s="698">
        <f t="shared" si="13"/>
        <v>3266684.2254597549</v>
      </c>
      <c r="O27" s="698">
        <f>SUM(C27:N27)</f>
        <v>20703621.600000001</v>
      </c>
    </row>
    <row r="28" spans="1:15" x14ac:dyDescent="0.2">
      <c r="A28" s="671"/>
      <c r="B28" s="671"/>
      <c r="C28" s="671"/>
      <c r="D28" s="671"/>
      <c r="E28" s="671"/>
      <c r="F28" s="671"/>
      <c r="G28" s="671"/>
      <c r="H28" s="671"/>
      <c r="I28" s="671"/>
      <c r="J28" s="671"/>
      <c r="K28" s="671"/>
      <c r="L28" s="671"/>
      <c r="M28" s="671"/>
      <c r="N28" s="671"/>
      <c r="O28" s="671"/>
    </row>
    <row r="29" spans="1:15" x14ac:dyDescent="0.2">
      <c r="A29" s="672" t="s">
        <v>291</v>
      </c>
      <c r="O29" s="667"/>
    </row>
    <row r="32" spans="1:15" x14ac:dyDescent="0.2">
      <c r="C32" s="667">
        <v>2245427.8542184466</v>
      </c>
      <c r="D32" s="667">
        <v>2209562.0570224328</v>
      </c>
      <c r="E32" s="667">
        <v>1414036.0588726951</v>
      </c>
      <c r="F32" s="667">
        <v>1683129.5273961462</v>
      </c>
      <c r="G32" s="667">
        <v>1254637.8442926649</v>
      </c>
      <c r="H32" s="667">
        <v>1521398.9425874334</v>
      </c>
      <c r="I32" s="667">
        <v>1281872.6487487303</v>
      </c>
      <c r="J32" s="667">
        <v>1331798.3678866709</v>
      </c>
      <c r="K32" s="667">
        <v>1640630.8500453196</v>
      </c>
      <c r="L32" s="667">
        <v>1302801.8769835876</v>
      </c>
      <c r="M32" s="667">
        <v>1551641.3464861205</v>
      </c>
      <c r="N32" s="667">
        <v>3266684.2254597545</v>
      </c>
      <c r="O32" s="667">
        <v>20703621.599999979</v>
      </c>
    </row>
  </sheetData>
  <mergeCells count="4">
    <mergeCell ref="A1:O1"/>
    <mergeCell ref="A2:O2"/>
    <mergeCell ref="A3:O3"/>
    <mergeCell ref="A4:O4"/>
  </mergeCells>
  <printOptions horizontalCentered="1"/>
  <pageMargins left="0.78740157480314965" right="0.78740157480314965" top="0.98425196850393704" bottom="0.98425196850393704" header="0" footer="0"/>
  <pageSetup paperSize="5" scale="90"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tabColor rgb="FFFFFF00"/>
  </sheetPr>
  <dimension ref="A1:O32"/>
  <sheetViews>
    <sheetView topLeftCell="B1" workbookViewId="0">
      <selection activeCell="I12" sqref="I12:K12"/>
    </sheetView>
  </sheetViews>
  <sheetFormatPr baseColWidth="10" defaultRowHeight="12.75" x14ac:dyDescent="0.2"/>
  <cols>
    <col min="1" max="1" width="16.5703125" style="658" customWidth="1"/>
    <col min="2" max="2" width="9.28515625" style="658" bestFit="1" customWidth="1"/>
    <col min="3" max="3" width="12.7109375" style="658" bestFit="1" customWidth="1"/>
    <col min="4" max="14" width="11.85546875" style="658" bestFit="1" customWidth="1"/>
    <col min="15" max="15" width="13.7109375" style="658" bestFit="1" customWidth="1"/>
    <col min="16" max="16384" width="11.42578125" style="658"/>
  </cols>
  <sheetData>
    <row r="1" spans="1:15" ht="15.75" x14ac:dyDescent="0.25">
      <c r="A1" s="1019" t="s">
        <v>279</v>
      </c>
      <c r="B1" s="1019"/>
      <c r="C1" s="1019"/>
      <c r="D1" s="1019"/>
      <c r="E1" s="1019"/>
      <c r="F1" s="1019"/>
      <c r="G1" s="1019"/>
      <c r="H1" s="1019"/>
      <c r="I1" s="1019"/>
      <c r="J1" s="1019"/>
      <c r="K1" s="1019"/>
      <c r="L1" s="1019"/>
      <c r="M1" s="1019"/>
      <c r="N1" s="1019"/>
      <c r="O1" s="1019"/>
    </row>
    <row r="2" spans="1:15" x14ac:dyDescent="0.2">
      <c r="A2" s="1020" t="s">
        <v>280</v>
      </c>
      <c r="B2" s="1020"/>
      <c r="C2" s="1020"/>
      <c r="D2" s="1020"/>
      <c r="E2" s="1020"/>
      <c r="F2" s="1020"/>
      <c r="G2" s="1020"/>
      <c r="H2" s="1020"/>
      <c r="I2" s="1020"/>
      <c r="J2" s="1020"/>
      <c r="K2" s="1020"/>
      <c r="L2" s="1020"/>
      <c r="M2" s="1020"/>
      <c r="N2" s="1020"/>
      <c r="O2" s="1020"/>
    </row>
    <row r="3" spans="1:15" x14ac:dyDescent="0.2">
      <c r="A3" s="1020" t="s">
        <v>281</v>
      </c>
      <c r="B3" s="1020"/>
      <c r="C3" s="1020"/>
      <c r="D3" s="1020"/>
      <c r="E3" s="1020"/>
      <c r="F3" s="1020"/>
      <c r="G3" s="1020"/>
      <c r="H3" s="1020"/>
      <c r="I3" s="1020"/>
      <c r="J3" s="1020"/>
      <c r="K3" s="1020"/>
      <c r="L3" s="1020"/>
      <c r="M3" s="1020"/>
      <c r="N3" s="1020"/>
      <c r="O3" s="1020"/>
    </row>
    <row r="4" spans="1:15" x14ac:dyDescent="0.2">
      <c r="A4" s="1021" t="s">
        <v>358</v>
      </c>
      <c r="B4" s="1021"/>
      <c r="C4" s="1021"/>
      <c r="D4" s="1021"/>
      <c r="E4" s="1021"/>
      <c r="F4" s="1021"/>
      <c r="G4" s="1021"/>
      <c r="H4" s="1021"/>
      <c r="I4" s="1021"/>
      <c r="J4" s="1021"/>
      <c r="K4" s="1021"/>
      <c r="L4" s="1021"/>
      <c r="M4" s="1021"/>
      <c r="N4" s="1021"/>
      <c r="O4" s="1021"/>
    </row>
    <row r="5" spans="1:15" ht="13.5" thickBot="1" x14ac:dyDescent="0.25"/>
    <row r="6" spans="1:15" ht="23.25" thickBot="1" x14ac:dyDescent="0.25">
      <c r="A6" s="659" t="s">
        <v>351</v>
      </c>
      <c r="B6" s="660" t="s">
        <v>283</v>
      </c>
      <c r="C6" s="659" t="s">
        <v>1</v>
      </c>
      <c r="D6" s="661" t="s">
        <v>2</v>
      </c>
      <c r="E6" s="659" t="s">
        <v>3</v>
      </c>
      <c r="F6" s="661" t="s">
        <v>4</v>
      </c>
      <c r="G6" s="659" t="s">
        <v>5</v>
      </c>
      <c r="H6" s="659" t="s">
        <v>6</v>
      </c>
      <c r="I6" s="659" t="s">
        <v>7</v>
      </c>
      <c r="J6" s="661" t="s">
        <v>8</v>
      </c>
      <c r="K6" s="659" t="s">
        <v>9</v>
      </c>
      <c r="L6" s="661" t="s">
        <v>10</v>
      </c>
      <c r="M6" s="659" t="s">
        <v>11</v>
      </c>
      <c r="N6" s="659" t="s">
        <v>12</v>
      </c>
      <c r="O6" s="662" t="s">
        <v>169</v>
      </c>
    </row>
    <row r="7" spans="1:15" x14ac:dyDescent="0.2">
      <c r="A7" s="663" t="s">
        <v>284</v>
      </c>
      <c r="B7" s="674">
        <v>3.8100000000000002E-2</v>
      </c>
      <c r="C7" s="690">
        <v>221149.74295927721</v>
      </c>
      <c r="D7" s="691">
        <v>222516.2298324453</v>
      </c>
      <c r="E7" s="690">
        <v>252825.77036195033</v>
      </c>
      <c r="F7" s="691">
        <v>242573.30921120683</v>
      </c>
      <c r="G7" s="690">
        <v>258898.84233744943</v>
      </c>
      <c r="H7" s="690">
        <v>248735.24449241886</v>
      </c>
      <c r="I7" s="692">
        <v>257861.19628767337</v>
      </c>
      <c r="J7" s="691">
        <v>255959.02638851784</v>
      </c>
      <c r="K7" s="690">
        <v>244192.50881827332</v>
      </c>
      <c r="L7" s="691">
        <v>257063.79269192531</v>
      </c>
      <c r="M7" s="690">
        <v>247583.00890387889</v>
      </c>
      <c r="N7" s="690">
        <v>182239.87521498336</v>
      </c>
      <c r="O7" s="693">
        <f>SUM(C7:N7)</f>
        <v>2891598.5474999999</v>
      </c>
    </row>
    <row r="8" spans="1:15" x14ac:dyDescent="0.2">
      <c r="A8" s="663" t="s">
        <v>148</v>
      </c>
      <c r="B8" s="675">
        <v>1.6299999999999999E-2</v>
      </c>
      <c r="C8" s="690">
        <v>94612.619691239321</v>
      </c>
      <c r="D8" s="691">
        <v>95197.232185534333</v>
      </c>
      <c r="E8" s="690">
        <v>108164.30595537506</v>
      </c>
      <c r="F8" s="691">
        <v>103778.08241844281</v>
      </c>
      <c r="G8" s="690">
        <v>110762.49685302953</v>
      </c>
      <c r="H8" s="690">
        <v>106414.29095082486</v>
      </c>
      <c r="I8" s="690">
        <v>110318.56954039568</v>
      </c>
      <c r="J8" s="691">
        <v>109504.78031844726</v>
      </c>
      <c r="K8" s="690">
        <v>104470.81085926128</v>
      </c>
      <c r="L8" s="691">
        <v>109977.42312016751</v>
      </c>
      <c r="M8" s="690">
        <v>105921.33976727625</v>
      </c>
      <c r="N8" s="690">
        <v>77966.140840005988</v>
      </c>
      <c r="O8" s="693">
        <f t="shared" ref="O8:O26" si="0">SUM(C8:N8)</f>
        <v>1237088.0925</v>
      </c>
    </row>
    <row r="9" spans="1:15" x14ac:dyDescent="0.2">
      <c r="A9" s="663" t="s">
        <v>149</v>
      </c>
      <c r="B9" s="675">
        <v>1.32E-2</v>
      </c>
      <c r="C9" s="690">
        <v>76618.808584316517</v>
      </c>
      <c r="D9" s="691">
        <v>77092.237107303881</v>
      </c>
      <c r="E9" s="690">
        <v>87593.180282880421</v>
      </c>
      <c r="F9" s="691">
        <v>84041.146498370872</v>
      </c>
      <c r="G9" s="690">
        <v>89697.23671533681</v>
      </c>
      <c r="H9" s="690">
        <v>86175.990217845901</v>
      </c>
      <c r="I9" s="690">
        <v>89337.73729651676</v>
      </c>
      <c r="J9" s="691">
        <v>88678.717803895939</v>
      </c>
      <c r="K9" s="690">
        <v>84602.129039401771</v>
      </c>
      <c r="L9" s="691">
        <v>89061.47148381664</v>
      </c>
      <c r="M9" s="690">
        <v>85776.790486383237</v>
      </c>
      <c r="N9" s="690">
        <v>63138.224483931241</v>
      </c>
      <c r="O9" s="693">
        <f t="shared" si="0"/>
        <v>1001813.6699999999</v>
      </c>
    </row>
    <row r="10" spans="1:15" x14ac:dyDescent="0.2">
      <c r="A10" s="663" t="s">
        <v>285</v>
      </c>
      <c r="B10" s="675">
        <v>7.6399999999999996E-2</v>
      </c>
      <c r="C10" s="690">
        <v>443460.37695771072</v>
      </c>
      <c r="D10" s="691">
        <v>446200.52386348607</v>
      </c>
      <c r="E10" s="690">
        <v>506978.71012212604</v>
      </c>
      <c r="F10" s="691">
        <v>486419.96912693436</v>
      </c>
      <c r="G10" s="690">
        <v>519156.73371604027</v>
      </c>
      <c r="H10" s="690">
        <v>498776.18580632017</v>
      </c>
      <c r="I10" s="690">
        <v>517075.99465559697</v>
      </c>
      <c r="J10" s="691">
        <v>513261.66971345828</v>
      </c>
      <c r="K10" s="690">
        <v>489666.86807653756</v>
      </c>
      <c r="L10" s="691">
        <v>515477.00161845388</v>
      </c>
      <c r="M10" s="690">
        <v>496465.66614846047</v>
      </c>
      <c r="N10" s="690">
        <v>365436.39019487472</v>
      </c>
      <c r="O10" s="693">
        <f t="shared" si="0"/>
        <v>5798376.0899999999</v>
      </c>
    </row>
    <row r="11" spans="1:15" x14ac:dyDescent="0.2">
      <c r="A11" s="663" t="s">
        <v>151</v>
      </c>
      <c r="B11" s="675">
        <v>6.2E-2</v>
      </c>
      <c r="C11" s="690">
        <v>359876.22213845636</v>
      </c>
      <c r="D11" s="691">
        <v>362099.90156460914</v>
      </c>
      <c r="E11" s="690">
        <v>411422.51344989287</v>
      </c>
      <c r="F11" s="691">
        <v>394738.71840143891</v>
      </c>
      <c r="G11" s="690">
        <v>421305.20275385468</v>
      </c>
      <c r="H11" s="690">
        <v>404766.0146595792</v>
      </c>
      <c r="I11" s="690">
        <v>419616.64487757871</v>
      </c>
      <c r="J11" s="691">
        <v>416521.25029102637</v>
      </c>
      <c r="K11" s="690">
        <v>397373.63639719016</v>
      </c>
      <c r="L11" s="691">
        <v>418319.03272701753</v>
      </c>
      <c r="M11" s="690">
        <v>402890.98561786063</v>
      </c>
      <c r="N11" s="690">
        <v>296558.32712149521</v>
      </c>
      <c r="O11" s="693">
        <f t="shared" si="0"/>
        <v>4705488.4499999993</v>
      </c>
    </row>
    <row r="12" spans="1:15" x14ac:dyDescent="0.2">
      <c r="A12" s="663" t="s">
        <v>286</v>
      </c>
      <c r="B12" s="675">
        <v>7.2300000000000003E-2</v>
      </c>
      <c r="C12" s="690">
        <v>419662.11065500637</v>
      </c>
      <c r="D12" s="691">
        <v>422255.20779227809</v>
      </c>
      <c r="E12" s="690">
        <v>479771.73745850415</v>
      </c>
      <c r="F12" s="691">
        <v>460316.27968425862</v>
      </c>
      <c r="G12" s="690">
        <v>491296.22837264027</v>
      </c>
      <c r="H12" s="690">
        <v>472009.40096592868</v>
      </c>
      <c r="I12" s="690">
        <v>489327.15201046679</v>
      </c>
      <c r="J12" s="691">
        <v>485717.52251679369</v>
      </c>
      <c r="K12" s="690">
        <v>463388.93405672337</v>
      </c>
      <c r="L12" s="691">
        <v>487813.9688090866</v>
      </c>
      <c r="M12" s="690">
        <v>469822.87516405364</v>
      </c>
      <c r="N12" s="690">
        <v>345825.27501425974</v>
      </c>
      <c r="O12" s="693">
        <f t="shared" si="0"/>
        <v>5487206.6924999999</v>
      </c>
    </row>
    <row r="13" spans="1:15" x14ac:dyDescent="0.2">
      <c r="A13" s="663" t="s">
        <v>153</v>
      </c>
      <c r="B13" s="675">
        <v>0.02</v>
      </c>
      <c r="C13" s="690">
        <v>116089.10391563109</v>
      </c>
      <c r="D13" s="691">
        <v>116806.41985955134</v>
      </c>
      <c r="E13" s="690">
        <v>132716.93982254609</v>
      </c>
      <c r="F13" s="691">
        <v>127335.07045207708</v>
      </c>
      <c r="G13" s="690">
        <v>135904.90411414669</v>
      </c>
      <c r="H13" s="690">
        <v>130569.68214825136</v>
      </c>
      <c r="I13" s="690">
        <v>135360.20802502538</v>
      </c>
      <c r="J13" s="691">
        <v>134361.69364226659</v>
      </c>
      <c r="K13" s="690">
        <v>128185.0439990936</v>
      </c>
      <c r="L13" s="691">
        <v>134941.62346032824</v>
      </c>
      <c r="M13" s="690">
        <v>129964.83407027763</v>
      </c>
      <c r="N13" s="690">
        <v>95663.976490804911</v>
      </c>
      <c r="O13" s="693">
        <f t="shared" si="0"/>
        <v>1517899.5</v>
      </c>
    </row>
    <row r="14" spans="1:15" x14ac:dyDescent="0.2">
      <c r="A14" s="663" t="s">
        <v>154</v>
      </c>
      <c r="B14" s="675">
        <v>2.6700000000000002E-2</v>
      </c>
      <c r="C14" s="690">
        <v>154978.95372736751</v>
      </c>
      <c r="D14" s="691">
        <v>155936.57051250106</v>
      </c>
      <c r="E14" s="690">
        <v>177177.11466309906</v>
      </c>
      <c r="F14" s="691">
        <v>169992.31905352289</v>
      </c>
      <c r="G14" s="690">
        <v>181433.04699238582</v>
      </c>
      <c r="H14" s="690">
        <v>174310.52566791559</v>
      </c>
      <c r="I14" s="690">
        <v>180705.8777134089</v>
      </c>
      <c r="J14" s="691">
        <v>179372.86101242588</v>
      </c>
      <c r="K14" s="690">
        <v>171127.03373878996</v>
      </c>
      <c r="L14" s="691">
        <v>180147.06731953821</v>
      </c>
      <c r="M14" s="690">
        <v>173503.05348382064</v>
      </c>
      <c r="N14" s="690">
        <v>127711.40861522456</v>
      </c>
      <c r="O14" s="693">
        <f t="shared" si="0"/>
        <v>2026395.8325</v>
      </c>
    </row>
    <row r="15" spans="1:15" x14ac:dyDescent="0.2">
      <c r="A15" s="663" t="s">
        <v>155</v>
      </c>
      <c r="B15" s="675">
        <v>2.3E-2</v>
      </c>
      <c r="C15" s="690">
        <v>133502.46950297573</v>
      </c>
      <c r="D15" s="691">
        <v>134327.38283848405</v>
      </c>
      <c r="E15" s="690">
        <v>152624.48079592802</v>
      </c>
      <c r="F15" s="691">
        <v>146435.33101988863</v>
      </c>
      <c r="G15" s="690">
        <v>156290.63973126869</v>
      </c>
      <c r="H15" s="690">
        <v>150155.13447048908</v>
      </c>
      <c r="I15" s="690">
        <v>155664.23922877919</v>
      </c>
      <c r="J15" s="691">
        <v>154515.94768860657</v>
      </c>
      <c r="K15" s="690">
        <v>147412.80059895763</v>
      </c>
      <c r="L15" s="691">
        <v>155182.86697937749</v>
      </c>
      <c r="M15" s="690">
        <v>149459.55918081925</v>
      </c>
      <c r="N15" s="690">
        <v>110013.57296442564</v>
      </c>
      <c r="O15" s="693">
        <f t="shared" si="0"/>
        <v>1745584.425</v>
      </c>
    </row>
    <row r="16" spans="1:15" x14ac:dyDescent="0.2">
      <c r="A16" s="663" t="s">
        <v>156</v>
      </c>
      <c r="B16" s="675">
        <v>2.3099999999999999E-2</v>
      </c>
      <c r="C16" s="690">
        <v>134082.91502255391</v>
      </c>
      <c r="D16" s="691">
        <v>134911.41493778178</v>
      </c>
      <c r="E16" s="690">
        <v>153288.06549504073</v>
      </c>
      <c r="F16" s="691">
        <v>147072.00637214902</v>
      </c>
      <c r="G16" s="690">
        <v>156970.16425183942</v>
      </c>
      <c r="H16" s="690">
        <v>150807.98288123033</v>
      </c>
      <c r="I16" s="690">
        <v>156341.04026890433</v>
      </c>
      <c r="J16" s="691">
        <v>155187.75615681789</v>
      </c>
      <c r="K16" s="690">
        <v>148053.7258189531</v>
      </c>
      <c r="L16" s="691">
        <v>155857.57509667912</v>
      </c>
      <c r="M16" s="690">
        <v>150109.38335117066</v>
      </c>
      <c r="N16" s="690">
        <v>110491.89284687967</v>
      </c>
      <c r="O16" s="693">
        <f t="shared" si="0"/>
        <v>1753173.9224999999</v>
      </c>
    </row>
    <row r="17" spans="1:15" x14ac:dyDescent="0.2">
      <c r="A17" s="663" t="s">
        <v>157</v>
      </c>
      <c r="B17" s="675">
        <v>5.0500000000000003E-2</v>
      </c>
      <c r="C17" s="690">
        <v>293124.98738696851</v>
      </c>
      <c r="D17" s="691">
        <v>294936.21014536713</v>
      </c>
      <c r="E17" s="690">
        <v>335110.2730519289</v>
      </c>
      <c r="F17" s="691">
        <v>321521.05289149465</v>
      </c>
      <c r="G17" s="690">
        <v>343159.88288822037</v>
      </c>
      <c r="H17" s="690">
        <v>329688.44742433471</v>
      </c>
      <c r="I17" s="690">
        <v>341784.52526318911</v>
      </c>
      <c r="J17" s="691">
        <v>339263.27644672315</v>
      </c>
      <c r="K17" s="690">
        <v>323667.23609771137</v>
      </c>
      <c r="L17" s="691">
        <v>340727.59923732886</v>
      </c>
      <c r="M17" s="690">
        <v>328161.20602745103</v>
      </c>
      <c r="N17" s="690">
        <v>241551.54063928241</v>
      </c>
      <c r="O17" s="693">
        <f t="shared" si="0"/>
        <v>3832696.2374999993</v>
      </c>
    </row>
    <row r="18" spans="1:15" x14ac:dyDescent="0.2">
      <c r="A18" s="663" t="s">
        <v>158</v>
      </c>
      <c r="B18" s="675">
        <v>2.58E-2</v>
      </c>
      <c r="C18" s="690">
        <v>149754.94405116409</v>
      </c>
      <c r="D18" s="691">
        <v>150680.28161882123</v>
      </c>
      <c r="E18" s="690">
        <v>171204.85237108447</v>
      </c>
      <c r="F18" s="691">
        <v>164262.24088317942</v>
      </c>
      <c r="G18" s="690">
        <v>175317.32630724923</v>
      </c>
      <c r="H18" s="690">
        <v>168434.88997124427</v>
      </c>
      <c r="I18" s="690">
        <v>174614.66835228275</v>
      </c>
      <c r="J18" s="691">
        <v>173326.58479852389</v>
      </c>
      <c r="K18" s="690">
        <v>165358.70675883075</v>
      </c>
      <c r="L18" s="691">
        <v>174074.69426382345</v>
      </c>
      <c r="M18" s="690">
        <v>167654.63595065812</v>
      </c>
      <c r="N18" s="690">
        <v>123406.52967313833</v>
      </c>
      <c r="O18" s="693">
        <f t="shared" si="0"/>
        <v>1958090.3549999997</v>
      </c>
    </row>
    <row r="19" spans="1:15" x14ac:dyDescent="0.2">
      <c r="A19" s="663" t="s">
        <v>159</v>
      </c>
      <c r="B19" s="675">
        <v>3.39E-2</v>
      </c>
      <c r="C19" s="690">
        <v>196771.03113699469</v>
      </c>
      <c r="D19" s="691">
        <v>197986.88166193952</v>
      </c>
      <c r="E19" s="690">
        <v>224955.21299921564</v>
      </c>
      <c r="F19" s="691">
        <v>215832.94441627062</v>
      </c>
      <c r="G19" s="690">
        <v>230358.81247347861</v>
      </c>
      <c r="H19" s="690">
        <v>221315.61124128607</v>
      </c>
      <c r="I19" s="690">
        <v>229435.55260241803</v>
      </c>
      <c r="J19" s="691">
        <v>227743.07072364184</v>
      </c>
      <c r="K19" s="690">
        <v>217273.64957846366</v>
      </c>
      <c r="L19" s="691">
        <v>228726.05176525636</v>
      </c>
      <c r="M19" s="690">
        <v>220290.39374912056</v>
      </c>
      <c r="N19" s="690">
        <v>162150.44015191431</v>
      </c>
      <c r="O19" s="693">
        <f t="shared" si="0"/>
        <v>2572839.6525000003</v>
      </c>
    </row>
    <row r="20" spans="1:15" x14ac:dyDescent="0.2">
      <c r="A20" s="663" t="s">
        <v>287</v>
      </c>
      <c r="B20" s="675">
        <v>8.2000000000000007E-3</v>
      </c>
      <c r="C20" s="690">
        <v>47596.532605408749</v>
      </c>
      <c r="D20" s="691">
        <v>47890.632142416056</v>
      </c>
      <c r="E20" s="690">
        <v>54413.945327243906</v>
      </c>
      <c r="F20" s="691">
        <v>52207.378885351602</v>
      </c>
      <c r="G20" s="690">
        <v>55721.010686800146</v>
      </c>
      <c r="H20" s="690">
        <v>53533.569680783061</v>
      </c>
      <c r="I20" s="690">
        <v>55497.685290260415</v>
      </c>
      <c r="J20" s="691">
        <v>55088.294393329299</v>
      </c>
      <c r="K20" s="690">
        <v>52555.868039628382</v>
      </c>
      <c r="L20" s="691">
        <v>55326.065618734581</v>
      </c>
      <c r="M20" s="690">
        <v>53285.581968813829</v>
      </c>
      <c r="N20" s="690">
        <v>39222.230361230017</v>
      </c>
      <c r="O20" s="693">
        <f t="shared" si="0"/>
        <v>622338.79499999993</v>
      </c>
    </row>
    <row r="21" spans="1:15" x14ac:dyDescent="0.2">
      <c r="A21" s="663" t="s">
        <v>288</v>
      </c>
      <c r="B21" s="675">
        <v>2.2700000000000001E-2</v>
      </c>
      <c r="C21" s="690">
        <v>131761.13294424128</v>
      </c>
      <c r="D21" s="691">
        <v>132575.28654059078</v>
      </c>
      <c r="E21" s="690">
        <v>150633.72669858983</v>
      </c>
      <c r="F21" s="691">
        <v>144525.30496310748</v>
      </c>
      <c r="G21" s="690">
        <v>154252.06616955649</v>
      </c>
      <c r="H21" s="690">
        <v>148196.5892382653</v>
      </c>
      <c r="I21" s="690">
        <v>153633.83610840383</v>
      </c>
      <c r="J21" s="691">
        <v>152500.52228397259</v>
      </c>
      <c r="K21" s="690">
        <v>145490.02493897124</v>
      </c>
      <c r="L21" s="691">
        <v>153158.74262747256</v>
      </c>
      <c r="M21" s="690">
        <v>147510.08666976512</v>
      </c>
      <c r="N21" s="690">
        <v>108578.61331706357</v>
      </c>
      <c r="O21" s="693">
        <f t="shared" si="0"/>
        <v>1722815.9325000003</v>
      </c>
    </row>
    <row r="22" spans="1:15" x14ac:dyDescent="0.2">
      <c r="A22" s="663" t="s">
        <v>289</v>
      </c>
      <c r="B22" s="675">
        <v>8.5900000000000004E-2</v>
      </c>
      <c r="C22" s="690">
        <v>498602.70131763554</v>
      </c>
      <c r="D22" s="691">
        <v>501683.57329677301</v>
      </c>
      <c r="E22" s="690">
        <v>570019.25653783546</v>
      </c>
      <c r="F22" s="691">
        <v>546904.12759167107</v>
      </c>
      <c r="G22" s="690">
        <v>583711.56317026005</v>
      </c>
      <c r="H22" s="690">
        <v>560796.78482673969</v>
      </c>
      <c r="I22" s="690">
        <v>581372.09346748411</v>
      </c>
      <c r="J22" s="691">
        <v>577083.47419353493</v>
      </c>
      <c r="K22" s="690">
        <v>550554.763976107</v>
      </c>
      <c r="L22" s="691">
        <v>579574.27276210987</v>
      </c>
      <c r="M22" s="690">
        <v>558198.9623318424</v>
      </c>
      <c r="N22" s="690">
        <v>410876.77902800712</v>
      </c>
      <c r="O22" s="693">
        <f t="shared" si="0"/>
        <v>6519378.3525</v>
      </c>
    </row>
    <row r="23" spans="1:15" x14ac:dyDescent="0.2">
      <c r="A23" s="663" t="s">
        <v>163</v>
      </c>
      <c r="B23" s="675">
        <v>4.5499999999999999E-2</v>
      </c>
      <c r="C23" s="690">
        <v>264102.71140806068</v>
      </c>
      <c r="D23" s="691">
        <v>265734.6051804793</v>
      </c>
      <c r="E23" s="690">
        <v>301931.03809629235</v>
      </c>
      <c r="F23" s="691">
        <v>289687.28527847532</v>
      </c>
      <c r="G23" s="690">
        <v>309183.65685968369</v>
      </c>
      <c r="H23" s="690">
        <v>297046.02688727184</v>
      </c>
      <c r="I23" s="690">
        <v>307944.47325693275</v>
      </c>
      <c r="J23" s="691">
        <v>305672.85303615645</v>
      </c>
      <c r="K23" s="690">
        <v>291620.97509793792</v>
      </c>
      <c r="L23" s="691">
        <v>306992.19337224675</v>
      </c>
      <c r="M23" s="690">
        <v>295669.99750988156</v>
      </c>
      <c r="N23" s="690">
        <v>217635.54651658115</v>
      </c>
      <c r="O23" s="693">
        <f t="shared" si="0"/>
        <v>3453221.3624999993</v>
      </c>
    </row>
    <row r="24" spans="1:15" x14ac:dyDescent="0.2">
      <c r="A24" s="663" t="s">
        <v>164</v>
      </c>
      <c r="B24" s="675">
        <v>0.29020000000000001</v>
      </c>
      <c r="C24" s="690">
        <v>1684452.897815807</v>
      </c>
      <c r="D24" s="691">
        <v>1694861.1521620899</v>
      </c>
      <c r="E24" s="690">
        <v>1925722.796825144</v>
      </c>
      <c r="F24" s="691">
        <v>1847631.8722596385</v>
      </c>
      <c r="G24" s="690">
        <v>1971980.1586962685</v>
      </c>
      <c r="H24" s="690">
        <v>1894566.0879711274</v>
      </c>
      <c r="I24" s="690">
        <v>1964076.6184431184</v>
      </c>
      <c r="J24" s="691">
        <v>1949588.1747492882</v>
      </c>
      <c r="K24" s="690">
        <v>1859964.9884268483</v>
      </c>
      <c r="L24" s="691">
        <v>1958002.9564093628</v>
      </c>
      <c r="M24" s="690">
        <v>1885789.7423597283</v>
      </c>
      <c r="N24" s="690">
        <v>1388084.2988815792</v>
      </c>
      <c r="O24" s="693">
        <f t="shared" si="0"/>
        <v>22024721.744999997</v>
      </c>
    </row>
    <row r="25" spans="1:15" x14ac:dyDescent="0.2">
      <c r="A25" s="663" t="s">
        <v>165</v>
      </c>
      <c r="B25" s="675">
        <v>2.7300000000000001E-2</v>
      </c>
      <c r="C25" s="690">
        <v>158461.62684483643</v>
      </c>
      <c r="D25" s="691">
        <v>159440.76310828759</v>
      </c>
      <c r="E25" s="690">
        <v>181158.62285777542</v>
      </c>
      <c r="F25" s="691">
        <v>173812.37116708522</v>
      </c>
      <c r="G25" s="690">
        <v>185510.19411581021</v>
      </c>
      <c r="H25" s="690">
        <v>178227.61613236312</v>
      </c>
      <c r="I25" s="690">
        <v>184766.68395415967</v>
      </c>
      <c r="J25" s="691">
        <v>183403.7118216939</v>
      </c>
      <c r="K25" s="690">
        <v>174972.58505876278</v>
      </c>
      <c r="L25" s="691">
        <v>184195.31602334807</v>
      </c>
      <c r="M25" s="690">
        <v>177401.99850592896</v>
      </c>
      <c r="N25" s="690">
        <v>130581.3279099487</v>
      </c>
      <c r="O25" s="693">
        <f t="shared" si="0"/>
        <v>2071932.8175000001</v>
      </c>
    </row>
    <row r="26" spans="1:15" ht="13.5" thickBot="1" x14ac:dyDescent="0.25">
      <c r="A26" s="663" t="s">
        <v>166</v>
      </c>
      <c r="B26" s="676">
        <v>3.8899999999999997E-2</v>
      </c>
      <c r="C26" s="690">
        <v>225793.30711590243</v>
      </c>
      <c r="D26" s="691">
        <v>227188.48662682733</v>
      </c>
      <c r="E26" s="690">
        <v>258134.44795485213</v>
      </c>
      <c r="F26" s="691">
        <v>247666.71202928989</v>
      </c>
      <c r="G26" s="690">
        <v>264335.03850201529</v>
      </c>
      <c r="H26" s="690">
        <v>253958.0317783489</v>
      </c>
      <c r="I26" s="696">
        <v>263275.60460867436</v>
      </c>
      <c r="J26" s="691">
        <v>261333.49413420848</v>
      </c>
      <c r="K26" s="690">
        <v>249319.91057823703</v>
      </c>
      <c r="L26" s="691">
        <v>262461.45763033844</v>
      </c>
      <c r="M26" s="690">
        <v>252781.60226668997</v>
      </c>
      <c r="N26" s="690">
        <v>186066.43427461552</v>
      </c>
      <c r="O26" s="693">
        <f t="shared" si="0"/>
        <v>2952314.5274999999</v>
      </c>
    </row>
    <row r="27" spans="1:15" ht="13.5" thickBot="1" x14ac:dyDescent="0.25">
      <c r="A27" s="668" t="s">
        <v>290</v>
      </c>
      <c r="B27" s="669">
        <f>SUM(B7:B26)</f>
        <v>1</v>
      </c>
      <c r="C27" s="698">
        <f>SUM(C7:C26)</f>
        <v>5804455.1957815532</v>
      </c>
      <c r="D27" s="698">
        <f t="shared" ref="D27:N27" si="1">SUM(D7:D26)</f>
        <v>5840320.992977567</v>
      </c>
      <c r="E27" s="698">
        <f t="shared" si="1"/>
        <v>6635846.9911273047</v>
      </c>
      <c r="F27" s="698">
        <f t="shared" si="1"/>
        <v>6366753.5226038536</v>
      </c>
      <c r="G27" s="698">
        <f t="shared" si="1"/>
        <v>6795245.2057073349</v>
      </c>
      <c r="H27" s="698">
        <f t="shared" si="1"/>
        <v>6528484.1074125664</v>
      </c>
      <c r="I27" s="698">
        <f t="shared" si="1"/>
        <v>6768010.4012512695</v>
      </c>
      <c r="J27" s="698">
        <f t="shared" si="1"/>
        <v>6718084.6821133289</v>
      </c>
      <c r="K27" s="698">
        <f t="shared" si="1"/>
        <v>6409252.1999546802</v>
      </c>
      <c r="L27" s="698">
        <f t="shared" si="1"/>
        <v>6747081.1730164122</v>
      </c>
      <c r="M27" s="698">
        <f t="shared" si="1"/>
        <v>6498241.7035138793</v>
      </c>
      <c r="N27" s="698">
        <f t="shared" si="1"/>
        <v>4783198.8245402453</v>
      </c>
      <c r="O27" s="698">
        <f>SUM(C27:N27)</f>
        <v>75894975</v>
      </c>
    </row>
    <row r="28" spans="1:15" x14ac:dyDescent="0.2">
      <c r="A28" s="671"/>
      <c r="B28" s="671"/>
      <c r="C28" s="671"/>
      <c r="D28" s="671"/>
      <c r="E28" s="671"/>
      <c r="F28" s="671"/>
      <c r="G28" s="671"/>
      <c r="H28" s="671"/>
      <c r="I28" s="671"/>
      <c r="J28" s="671"/>
      <c r="K28" s="671"/>
      <c r="L28" s="671"/>
      <c r="M28" s="671"/>
      <c r="N28" s="671"/>
      <c r="O28" s="671"/>
    </row>
    <row r="29" spans="1:15" x14ac:dyDescent="0.2">
      <c r="A29" s="672" t="s">
        <v>291</v>
      </c>
      <c r="O29" s="667"/>
    </row>
    <row r="31" spans="1:15" x14ac:dyDescent="0.2">
      <c r="C31" s="667">
        <f>'[3]X22.5 2018ESTATAL'!$C$41</f>
        <v>8049883.0499999998</v>
      </c>
      <c r="D31" s="667">
        <f>'[3]X22.5 2018ESTATAL'!$C$41</f>
        <v>8049883.0499999998</v>
      </c>
      <c r="E31" s="667">
        <f>'[3]X22.5 2018ESTATAL'!$C$41</f>
        <v>8049883.0499999998</v>
      </c>
      <c r="F31" s="667">
        <f>'[3]X22.5 2018ESTATAL'!$C$41</f>
        <v>8049883.0499999998</v>
      </c>
      <c r="G31" s="667">
        <f>'[3]X22.5 2018ESTATAL'!$C$41</f>
        <v>8049883.0499999998</v>
      </c>
      <c r="H31" s="667">
        <f>'[3]X22.5 2018ESTATAL'!$C$41</f>
        <v>8049883.0499999998</v>
      </c>
      <c r="I31" s="667">
        <f>'[3]X22.5 2018ESTATAL'!$C$41</f>
        <v>8049883.0499999998</v>
      </c>
      <c r="J31" s="667">
        <f>'[3]X22.5 2018ESTATAL'!$C$41</f>
        <v>8049883.0499999998</v>
      </c>
      <c r="K31" s="667">
        <f>'[3]X22.5 2018ESTATAL'!$C$41</f>
        <v>8049883.0499999998</v>
      </c>
      <c r="L31" s="667">
        <f>'[3]X22.5 2018ESTATAL'!$C$41</f>
        <v>8049883.0499999998</v>
      </c>
      <c r="M31" s="667">
        <f>'[3]X22.5 2018ESTATAL'!$C$41</f>
        <v>8049883.0499999998</v>
      </c>
      <c r="N31" s="667">
        <f>'[3]X22.5 2018ESTATAL'!$C$41</f>
        <v>8049883.0499999998</v>
      </c>
      <c r="O31" s="667">
        <f>SUM(C31:N31)</f>
        <v>96598596.599999979</v>
      </c>
    </row>
    <row r="32" spans="1:15" x14ac:dyDescent="0.2">
      <c r="C32" s="667">
        <f>C31-C27</f>
        <v>2245427.8542184466</v>
      </c>
      <c r="D32" s="667">
        <f t="shared" ref="D32:O32" si="2">D31-D27</f>
        <v>2209562.0570224328</v>
      </c>
      <c r="E32" s="667">
        <f t="shared" si="2"/>
        <v>1414036.0588726951</v>
      </c>
      <c r="F32" s="667">
        <f t="shared" si="2"/>
        <v>1683129.5273961462</v>
      </c>
      <c r="G32" s="667">
        <f t="shared" si="2"/>
        <v>1254637.8442926649</v>
      </c>
      <c r="H32" s="667">
        <f t="shared" si="2"/>
        <v>1521398.9425874334</v>
      </c>
      <c r="I32" s="667">
        <f t="shared" si="2"/>
        <v>1281872.6487487303</v>
      </c>
      <c r="J32" s="667">
        <f t="shared" si="2"/>
        <v>1331798.3678866709</v>
      </c>
      <c r="K32" s="667">
        <f t="shared" si="2"/>
        <v>1640630.8500453196</v>
      </c>
      <c r="L32" s="667">
        <f t="shared" si="2"/>
        <v>1302801.8769835876</v>
      </c>
      <c r="M32" s="667">
        <f t="shared" si="2"/>
        <v>1551641.3464861205</v>
      </c>
      <c r="N32" s="667">
        <f t="shared" si="2"/>
        <v>3266684.2254597545</v>
      </c>
      <c r="O32" s="667">
        <f t="shared" si="2"/>
        <v>20703621.599999979</v>
      </c>
    </row>
  </sheetData>
  <mergeCells count="4">
    <mergeCell ref="A1:O1"/>
    <mergeCell ref="A2:O2"/>
    <mergeCell ref="A3:O3"/>
    <mergeCell ref="A4:O4"/>
  </mergeCells>
  <printOptions horizontalCentered="1"/>
  <pageMargins left="0.78740157480314965" right="0.78740157480314965" top="0.98425196850393704" bottom="0.98425196850393704" header="0" footer="0"/>
  <pageSetup paperSize="5" scale="90"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pageSetUpPr fitToPage="1"/>
  </sheetPr>
  <dimension ref="A1:T26"/>
  <sheetViews>
    <sheetView workbookViewId="0">
      <selection sqref="A1:O1"/>
    </sheetView>
  </sheetViews>
  <sheetFormatPr baseColWidth="10" defaultRowHeight="12.75" x14ac:dyDescent="0.2"/>
  <cols>
    <col min="1" max="1" width="16.42578125" style="658" bestFit="1" customWidth="1"/>
    <col min="2" max="2" width="9.140625" style="658" hidden="1" customWidth="1"/>
    <col min="3" max="14" width="11.7109375" style="658" bestFit="1" customWidth="1"/>
    <col min="15" max="15" width="13" style="658" bestFit="1" customWidth="1"/>
    <col min="16" max="16" width="12.7109375" style="658" bestFit="1" customWidth="1"/>
    <col min="17" max="19" width="11.42578125" style="658"/>
    <col min="20" max="20" width="11.7109375" style="658" bestFit="1" customWidth="1"/>
    <col min="21" max="16384" width="11.42578125" style="658"/>
  </cols>
  <sheetData>
    <row r="1" spans="1:17" x14ac:dyDescent="0.2">
      <c r="A1" s="1020"/>
      <c r="B1" s="1020"/>
      <c r="C1" s="1020"/>
      <c r="D1" s="1020"/>
      <c r="E1" s="1020"/>
      <c r="F1" s="1020"/>
      <c r="G1" s="1020"/>
      <c r="H1" s="1020"/>
      <c r="I1" s="1020"/>
      <c r="J1" s="1020"/>
      <c r="K1" s="1020"/>
      <c r="L1" s="1020"/>
      <c r="M1" s="1020"/>
      <c r="N1" s="1020"/>
      <c r="O1" s="1020"/>
    </row>
    <row r="2" spans="1:17" x14ac:dyDescent="0.2">
      <c r="A2" s="1021" t="s">
        <v>466</v>
      </c>
      <c r="B2" s="1021"/>
      <c r="C2" s="1021"/>
      <c r="D2" s="1021"/>
      <c r="E2" s="1021"/>
      <c r="F2" s="1021"/>
      <c r="G2" s="1021"/>
      <c r="H2" s="1021"/>
      <c r="I2" s="1021"/>
      <c r="J2" s="1021"/>
      <c r="K2" s="1021"/>
      <c r="L2" s="1021"/>
      <c r="M2" s="1021"/>
      <c r="N2" s="1021"/>
      <c r="O2" s="1021"/>
    </row>
    <row r="3" spans="1:17" ht="13.5" thickBot="1" x14ac:dyDescent="0.25"/>
    <row r="4" spans="1:17" ht="23.25" thickBot="1" x14ac:dyDescent="0.25">
      <c r="A4" s="685" t="s">
        <v>357</v>
      </c>
      <c r="B4" s="686" t="s">
        <v>283</v>
      </c>
      <c r="C4" s="685" t="s">
        <v>1</v>
      </c>
      <c r="D4" s="687" t="s">
        <v>2</v>
      </c>
      <c r="E4" s="685" t="s">
        <v>3</v>
      </c>
      <c r="F4" s="687" t="s">
        <v>4</v>
      </c>
      <c r="G4" s="685" t="s">
        <v>5</v>
      </c>
      <c r="H4" s="685" t="s">
        <v>6</v>
      </c>
      <c r="I4" s="685" t="s">
        <v>7</v>
      </c>
      <c r="J4" s="687" t="s">
        <v>8</v>
      </c>
      <c r="K4" s="685" t="s">
        <v>9</v>
      </c>
      <c r="L4" s="687" t="s">
        <v>10</v>
      </c>
      <c r="M4" s="685" t="s">
        <v>11</v>
      </c>
      <c r="N4" s="685" t="s">
        <v>12</v>
      </c>
      <c r="O4" s="688" t="s">
        <v>169</v>
      </c>
    </row>
    <row r="5" spans="1:17" x14ac:dyDescent="0.2">
      <c r="A5" s="663" t="s">
        <v>284</v>
      </c>
      <c r="B5" s="683"/>
      <c r="C5" s="665">
        <f>F.G.P.INCREMENTO!C7+'F.G.P. ESTIMACIONES 2014'!C7</f>
        <v>3797126.6524235872</v>
      </c>
      <c r="D5" s="665">
        <f>F.G.P.INCREMENTO!D7+'F.G.P. ESTIMACIONES 2014'!D7</f>
        <v>5218877.4754795795</v>
      </c>
      <c r="E5" s="665">
        <f>F.G.P.INCREMENTO!E7+'F.G.P. ESTIMACIONES 2014'!E7</f>
        <v>4143984.7857557088</v>
      </c>
      <c r="F5" s="665">
        <f>F.G.P.INCREMENTO!F7+'F.G.P. ESTIMACIONES 2014'!F7</f>
        <v>5452186.2803266756</v>
      </c>
      <c r="G5" s="665">
        <f>F.G.P.INCREMENTO!G7+'F.G.P. ESTIMACIONES 2014'!G7</f>
        <v>4479240.8891614284</v>
      </c>
      <c r="H5" s="665">
        <f>F.G.P.INCREMENTO!H7+'F.G.P. ESTIMACIONES 2014'!H7</f>
        <v>4662531.9772819802</v>
      </c>
      <c r="I5" s="665">
        <f>F.G.P.INCREMENTO!I7+'F.G.P. ESTIMACIONES 2014'!I7</f>
        <v>4364759.9786070697</v>
      </c>
      <c r="J5" s="665">
        <f>F.G.P.INCREMENTO!J7+'F.G.P. ESTIMACIONES 2014'!J7</f>
        <v>4414144.6723193359</v>
      </c>
      <c r="K5" s="665">
        <f>F.G.P.INCREMENTO!K7+'F.G.P. ESTIMACIONES 2014'!K7</f>
        <v>4114934.2745786984</v>
      </c>
      <c r="L5" s="665">
        <f>F.G.P.INCREMENTO!L7+'F.G.P. ESTIMACIONES 2014'!L7</f>
        <v>3698969.2053194218</v>
      </c>
      <c r="M5" s="665">
        <f>F.G.P.INCREMENTO!M7+'F.G.P. ESTIMACIONES 2014'!M7</f>
        <v>4068223.6288178419</v>
      </c>
      <c r="N5" s="665">
        <f>F.G.P.INCREMENTO!N7+'F.G.P. ESTIMACIONES 2014'!N7</f>
        <v>4004217.653414031</v>
      </c>
      <c r="O5" s="666">
        <f>SUM(C5:N5)</f>
        <v>52419197.473485358</v>
      </c>
      <c r="P5" s="667"/>
      <c r="Q5" s="667"/>
    </row>
    <row r="6" spans="1:17" x14ac:dyDescent="0.2">
      <c r="A6" s="663" t="s">
        <v>148</v>
      </c>
      <c r="B6" s="683"/>
      <c r="C6" s="665">
        <f>F.G.P.INCREMENTO!C8+'F.G.P. ESTIMACIONES 2014'!C8</f>
        <v>2598690.5690937596</v>
      </c>
      <c r="D6" s="665">
        <f>F.G.P.INCREMENTO!D8+'F.G.P. ESTIMACIONES 2014'!D8</f>
        <v>3576618.5139548397</v>
      </c>
      <c r="E6" s="665">
        <f>F.G.P.INCREMENTO!E8+'F.G.P. ESTIMACIONES 2014'!E8</f>
        <v>2838906.3874740987</v>
      </c>
      <c r="F6" s="665">
        <f>F.G.P.INCREMENTO!F8+'F.G.P. ESTIMACIONES 2014'!F8</f>
        <v>3740212.7395782545</v>
      </c>
      <c r="G6" s="665">
        <f>F.G.P.INCREMENTO!G8+'F.G.P. ESTIMACIONES 2014'!G8</f>
        <v>3072101.6576592093</v>
      </c>
      <c r="H6" s="665">
        <f>F.G.P.INCREMENTO!H8+'F.G.P. ESTIMACIONES 2014'!H8</f>
        <v>3199626.2666529696</v>
      </c>
      <c r="I6" s="665">
        <f>F.G.P.INCREMENTO!I8+'F.G.P. ESTIMACIONES 2014'!I8</f>
        <v>2988614.3971931837</v>
      </c>
      <c r="J6" s="665">
        <f>F.G.P.INCREMENTO!J8+'F.G.P. ESTIMACIONES 2014'!J8</f>
        <v>3026455.9580904972</v>
      </c>
      <c r="K6" s="665">
        <f>F.G.P.INCREMENTO!K8+'F.G.P. ESTIMACIONES 2014'!K8</f>
        <v>2817107.7780399467</v>
      </c>
      <c r="L6" s="665">
        <f>F.G.P.INCREMENTO!L8+'F.G.P. ESTIMACIONES 2014'!L8</f>
        <v>2525960.4020571238</v>
      </c>
      <c r="M6" s="665">
        <f>F.G.P.INCREMENTO!M8+'F.G.P. ESTIMACIONES 2014'!M8</f>
        <v>2787484.1174945608</v>
      </c>
      <c r="N6" s="665">
        <f>F.G.P.INCREMENTO!N8+'F.G.P. ESTIMACIONES 2014'!N8</f>
        <v>2740482.773229558</v>
      </c>
      <c r="O6" s="666">
        <f t="shared" ref="O6:O24" si="0">SUM(C6:N6)</f>
        <v>35912261.560517997</v>
      </c>
      <c r="P6" s="667"/>
      <c r="Q6" s="667"/>
    </row>
    <row r="7" spans="1:17" x14ac:dyDescent="0.2">
      <c r="A7" s="663" t="s">
        <v>149</v>
      </c>
      <c r="B7" s="683"/>
      <c r="C7" s="665">
        <f>F.G.P.INCREMENTO!C9+'F.G.P. ESTIMACIONES 2014'!C9</f>
        <v>2507673.0759685957</v>
      </c>
      <c r="D7" s="665">
        <f>F.G.P.INCREMENTO!D9+'F.G.P. ESTIMACIONES 2014'!D9</f>
        <v>3486483.5419239416</v>
      </c>
      <c r="E7" s="665">
        <f>F.G.P.INCREMENTO!E9+'F.G.P. ESTIMACIONES 2014'!E9</f>
        <v>2759758.7132167113</v>
      </c>
      <c r="F7" s="665">
        <f>F.G.P.INCREMENTO!F9+'F.G.P. ESTIMACIONES 2014'!F9</f>
        <v>3672436.1020869035</v>
      </c>
      <c r="G7" s="665">
        <f>F.G.P.INCREMENTO!G9+'F.G.P. ESTIMACIONES 2014'!G9</f>
        <v>3011656.9761768095</v>
      </c>
      <c r="H7" s="665">
        <f>F.G.P.INCREMENTO!H9+'F.G.P. ESTIMACIONES 2014'!H9</f>
        <v>3149636.2437967556</v>
      </c>
      <c r="I7" s="665">
        <f>F.G.P.INCREMENTO!I9+'F.G.P. ESTIMACIONES 2014'!I9</f>
        <v>2894289.788310471</v>
      </c>
      <c r="J7" s="665">
        <f>F.G.P.INCREMENTO!J9+'F.G.P. ESTIMACIONES 2014'!J9</f>
        <v>2959767.5571123054</v>
      </c>
      <c r="K7" s="665">
        <f>F.G.P.INCREMENTO!K9+'F.G.P. ESTIMACIONES 2014'!K9</f>
        <v>2724993.6149388086</v>
      </c>
      <c r="L7" s="665">
        <f>F.G.P.INCREMENTO!L9+'F.G.P. ESTIMACIONES 2014'!L9</f>
        <v>2397717.9717628169</v>
      </c>
      <c r="M7" s="665">
        <f>F.G.P.INCREMENTO!M9+'F.G.P. ESTIMACIONES 2014'!M9</f>
        <v>2713198.809776016</v>
      </c>
      <c r="N7" s="665">
        <f>F.G.P.INCREMENTO!N9+'F.G.P. ESTIMACIONES 2014'!N9</f>
        <v>2644947.1431298535</v>
      </c>
      <c r="O7" s="666">
        <f t="shared" si="0"/>
        <v>34922559.538199991</v>
      </c>
      <c r="P7" s="667"/>
      <c r="Q7" s="667"/>
    </row>
    <row r="8" spans="1:17" x14ac:dyDescent="0.2">
      <c r="A8" s="663" t="s">
        <v>285</v>
      </c>
      <c r="B8" s="683"/>
      <c r="C8" s="665">
        <f>F.G.P.INCREMENTO!C10+'F.G.P. ESTIMACIONES 2014'!C10</f>
        <v>4932931.168039511</v>
      </c>
      <c r="D8" s="665">
        <f>F.G.P.INCREMENTO!D10+'F.G.P. ESTIMACIONES 2014'!D10</f>
        <v>8023225.4468423063</v>
      </c>
      <c r="E8" s="665">
        <f>F.G.P.INCREMENTO!E10+'F.G.P. ESTIMACIONES 2014'!E10</f>
        <v>6101296.4170514755</v>
      </c>
      <c r="F8" s="665">
        <f>F.G.P.INCREMENTO!F10+'F.G.P. ESTIMACIONES 2014'!F10</f>
        <v>9320264.7895132788</v>
      </c>
      <c r="G8" s="665">
        <f>F.G.P.INCREMENTO!G10+'F.G.P. ESTIMACIONES 2014'!G10</f>
        <v>7487690.7119753445</v>
      </c>
      <c r="H8" s="665">
        <f>F.G.P.INCREMENTO!H10+'F.G.P. ESTIMACIONES 2014'!H10</f>
        <v>8253816.018883951</v>
      </c>
      <c r="I8" s="665">
        <f>F.G.P.INCREMENTO!I10+'F.G.P. ESTIMACIONES 2014'!I10</f>
        <v>6036597.4450050797</v>
      </c>
      <c r="J8" s="665">
        <f>F.G.P.INCREMENTO!J10+'F.G.P. ESTIMACIONES 2014'!J10</f>
        <v>7125605.8860754706</v>
      </c>
      <c r="K8" s="665">
        <f>F.G.P.INCREMENTO!K10+'F.G.P. ESTIMACIONES 2014'!K10</f>
        <v>5577699.4019935746</v>
      </c>
      <c r="L8" s="665">
        <f>F.G.P.INCREMENTO!L10+'F.G.P. ESTIMACIONES 2014'!L10</f>
        <v>3398007.8523470387</v>
      </c>
      <c r="M8" s="665">
        <f>F.G.P.INCREMENTO!M10+'F.G.P. ESTIMACIONES 2014'!M10</f>
        <v>6111203.5939239562</v>
      </c>
      <c r="N8" s="665">
        <f>F.G.P.INCREMENTO!N10+'F.G.P. ESTIMACIONES 2014'!N10</f>
        <v>5217822.4589576339</v>
      </c>
      <c r="O8" s="666">
        <f t="shared" si="0"/>
        <v>77586161.190608606</v>
      </c>
      <c r="P8" s="667"/>
      <c r="Q8" s="667"/>
    </row>
    <row r="9" spans="1:17" x14ac:dyDescent="0.2">
      <c r="A9" s="663" t="s">
        <v>151</v>
      </c>
      <c r="B9" s="683"/>
      <c r="C9" s="665">
        <f>F.G.P.INCREMENTO!C11+'F.G.P. ESTIMACIONES 2014'!C11</f>
        <v>5493266.2393681519</v>
      </c>
      <c r="D9" s="665">
        <f>F.G.P.INCREMENTO!D11+'F.G.P. ESTIMACIONES 2014'!D11</f>
        <v>7942240.506408059</v>
      </c>
      <c r="E9" s="665">
        <f>F.G.P.INCREMENTO!E11+'F.G.P. ESTIMACIONES 2014'!E11</f>
        <v>6221450.8331660423</v>
      </c>
      <c r="F9" s="665">
        <f>F.G.P.INCREMENTO!F11+'F.G.P. ESTIMACIONES 2014'!F11</f>
        <v>8593267.5762177687</v>
      </c>
      <c r="G9" s="665">
        <f>F.G.P.INCREMENTO!G11+'F.G.P. ESTIMACIONES 2014'!G11</f>
        <v>7006373.8997207712</v>
      </c>
      <c r="H9" s="665">
        <f>F.G.P.INCREMENTO!H11+'F.G.P. ESTIMACIONES 2014'!H11</f>
        <v>7438079.3482737578</v>
      </c>
      <c r="I9" s="665">
        <f>F.G.P.INCREMENTO!I11+'F.G.P. ESTIMACIONES 2014'!I11</f>
        <v>6429972.7614487037</v>
      </c>
      <c r="J9" s="665">
        <f>F.G.P.INCREMENTO!J11+'F.G.P. ESTIMACIONES 2014'!J11</f>
        <v>6824667.6695291782</v>
      </c>
      <c r="K9" s="665">
        <f>F.G.P.INCREMENTO!K11+'F.G.P. ESTIMACIONES 2014'!K11</f>
        <v>6026178.6451395843</v>
      </c>
      <c r="L9" s="665">
        <f>F.G.P.INCREMENTO!L11+'F.G.P. ESTIMACIONES 2014'!L11</f>
        <v>4907350.4096061075</v>
      </c>
      <c r="M9" s="665">
        <f>F.G.P.INCREMENTO!M11+'F.G.P. ESTIMACIONES 2014'!M11</f>
        <v>6146016.5422445051</v>
      </c>
      <c r="N9" s="665">
        <f>F.G.P.INCREMENTO!N11+'F.G.P. ESTIMACIONES 2014'!N11</f>
        <v>5797863.571326877</v>
      </c>
      <c r="O9" s="666">
        <f t="shared" si="0"/>
        <v>78826728.002449512</v>
      </c>
      <c r="P9" s="667"/>
      <c r="Q9" s="667"/>
    </row>
    <row r="10" spans="1:17" x14ac:dyDescent="0.2">
      <c r="A10" s="663" t="s">
        <v>286</v>
      </c>
      <c r="B10" s="683"/>
      <c r="C10" s="665">
        <f>F.G.P.INCREMENTO!C12+'F.G.P. ESTIMACIONES 2014'!C12</f>
        <v>2159385.1127404543</v>
      </c>
      <c r="D10" s="665">
        <f>F.G.P.INCREMENTO!D12+'F.G.P. ESTIMACIONES 2014'!D12</f>
        <v>3334862.1475996636</v>
      </c>
      <c r="E10" s="665">
        <f>F.G.P.INCREMENTO!E12+'F.G.P. ESTIMACIONES 2014'!E12</f>
        <v>2568480.4552646102</v>
      </c>
      <c r="F10" s="665">
        <f>F.G.P.INCREMENTO!F12+'F.G.P. ESTIMACIONES 2014'!F12</f>
        <v>3760898.6008963306</v>
      </c>
      <c r="G10" s="665">
        <f>F.G.P.INCREMENTO!G12+'F.G.P. ESTIMACIONES 2014'!G12</f>
        <v>3039776.3604236506</v>
      </c>
      <c r="H10" s="665">
        <f>F.G.P.INCREMENTO!H12+'F.G.P. ESTIMACIONES 2014'!H12</f>
        <v>3299850.3747058329</v>
      </c>
      <c r="I10" s="665">
        <f>F.G.P.INCREMENTO!I12+'F.G.P. ESTIMACIONES 2014'!I12</f>
        <v>2590286.0043583629</v>
      </c>
      <c r="J10" s="665">
        <f>F.G.P.INCREMENTO!J12+'F.G.P. ESTIMACIONES 2014'!J12</f>
        <v>2920849.3920938228</v>
      </c>
      <c r="K10" s="665">
        <f>F.G.P.INCREMENTO!K12+'F.G.P. ESTIMACIONES 2014'!K12</f>
        <v>2408561.9994735215</v>
      </c>
      <c r="L10" s="665">
        <f>F.G.P.INCREMENTO!L12+'F.G.P. ESTIMACIONES 2014'!L12</f>
        <v>1688176.9229674872</v>
      </c>
      <c r="M10" s="665">
        <f>F.G.P.INCREMENTO!M12+'F.G.P. ESTIMACIONES 2014'!M12</f>
        <v>2557368.9010789692</v>
      </c>
      <c r="N10" s="665">
        <f>F.G.P.INCREMENTO!N12+'F.G.P. ESTIMACIONES 2014'!N12</f>
        <v>2281834.9865409005</v>
      </c>
      <c r="O10" s="666">
        <f t="shared" si="0"/>
        <v>32610331.258143604</v>
      </c>
      <c r="P10" s="667"/>
      <c r="Q10" s="667"/>
    </row>
    <row r="11" spans="1:17" x14ac:dyDescent="0.2">
      <c r="A11" s="663" t="s">
        <v>153</v>
      </c>
      <c r="B11" s="683"/>
      <c r="C11" s="665">
        <f>F.G.P.INCREMENTO!C13+'F.G.P. ESTIMACIONES 2014'!C13</f>
        <v>1913103.2574145356</v>
      </c>
      <c r="D11" s="665">
        <f>F.G.P.INCREMENTO!D13+'F.G.P. ESTIMACIONES 2014'!D13</f>
        <v>2822440.6260536015</v>
      </c>
      <c r="E11" s="665">
        <f>F.G.P.INCREMENTO!E13+'F.G.P. ESTIMACIONES 2014'!E13</f>
        <v>2199292.2496319492</v>
      </c>
      <c r="F11" s="665">
        <f>F.G.P.INCREMENTO!F13+'F.G.P. ESTIMACIONES 2014'!F13</f>
        <v>3094298.5767412973</v>
      </c>
      <c r="G11" s="665">
        <f>F.G.P.INCREMENTO!G13+'F.G.P. ESTIMACIONES 2014'!G13</f>
        <v>2515824.9388833428</v>
      </c>
      <c r="H11" s="665">
        <f>F.G.P.INCREMENTO!H13+'F.G.P. ESTIMACIONES 2014'!H13</f>
        <v>2690145.8471681923</v>
      </c>
      <c r="I11" s="665">
        <f>F.G.P.INCREMENTO!I13+'F.G.P. ESTIMACIONES 2014'!I13</f>
        <v>2255952.6613943982</v>
      </c>
      <c r="J11" s="665">
        <f>F.G.P.INCREMENTO!J13+'F.G.P. ESTIMACIONES 2014'!J13</f>
        <v>2439942.9115351196</v>
      </c>
      <c r="K11" s="665">
        <f>F.G.P.INCREMENTO!K13+'F.G.P. ESTIMACIONES 2014'!K13</f>
        <v>2109226.2052125735</v>
      </c>
      <c r="L11" s="665">
        <f>F.G.P.INCREMENTO!L13+'F.G.P. ESTIMACIONES 2014'!L13</f>
        <v>1645148.2851893608</v>
      </c>
      <c r="M11" s="665">
        <f>F.G.P.INCREMENTO!M13+'F.G.P. ESTIMACIONES 2014'!M13</f>
        <v>2177939.886740162</v>
      </c>
      <c r="N11" s="665">
        <f>F.G.P.INCREMENTO!N13+'F.G.P. ESTIMACIONES 2014'!N13</f>
        <v>2019903.2149763405</v>
      </c>
      <c r="O11" s="666">
        <f t="shared" si="0"/>
        <v>27883218.660940874</v>
      </c>
      <c r="P11" s="667"/>
      <c r="Q11" s="667"/>
    </row>
    <row r="12" spans="1:17" x14ac:dyDescent="0.2">
      <c r="A12" s="663" t="s">
        <v>154</v>
      </c>
      <c r="B12" s="683"/>
      <c r="C12" s="665">
        <f>F.G.P.INCREMENTO!C14+'F.G.P. ESTIMACIONES 2014'!C14</f>
        <v>3351412.9839761653</v>
      </c>
      <c r="D12" s="665">
        <f>F.G.P.INCREMENTO!D14+'F.G.P. ESTIMACIONES 2014'!D14</f>
        <v>4629316.3110360606</v>
      </c>
      <c r="E12" s="665">
        <f>F.G.P.INCREMENTO!E14+'F.G.P. ESTIMACIONES 2014'!E14</f>
        <v>3670857.6975538163</v>
      </c>
      <c r="F12" s="665">
        <f>F.G.P.INCREMENTO!F14+'F.G.P. ESTIMACIONES 2014'!F14</f>
        <v>4853658.6504651159</v>
      </c>
      <c r="G12" s="665">
        <f>F.G.P.INCREMENTO!G14+'F.G.P. ESTIMACIONES 2014'!G14</f>
        <v>3984382.0861929776</v>
      </c>
      <c r="H12" s="665">
        <f>F.G.P.INCREMENTO!H14+'F.G.P. ESTIMACIONES 2014'!H14</f>
        <v>4155943.1730636368</v>
      </c>
      <c r="I12" s="665">
        <f>F.G.P.INCREMENTO!I14+'F.G.P. ESTIMACIONES 2014'!I14</f>
        <v>3859203.6567043108</v>
      </c>
      <c r="J12" s="665">
        <f>F.G.P.INCREMENTO!J14+'F.G.P. ESTIMACIONES 2014'!J14</f>
        <v>3921784.0386428251</v>
      </c>
      <c r="K12" s="665">
        <f>F.G.P.INCREMENTO!K14+'F.G.P. ESTIMACIONES 2014'!K14</f>
        <v>3636213.2881979984</v>
      </c>
      <c r="L12" s="665">
        <f>F.G.P.INCREMENTO!L14+'F.G.P. ESTIMACIONES 2014'!L14</f>
        <v>3238695.4084763872</v>
      </c>
      <c r="M12" s="665">
        <f>F.G.P.INCREMENTO!M14+'F.G.P. ESTIMACIONES 2014'!M14</f>
        <v>3605997.0986854453</v>
      </c>
      <c r="N12" s="665">
        <f>F.G.P.INCREMENTO!N14+'F.G.P. ESTIMACIONES 2014'!N14</f>
        <v>3534489.0857374403</v>
      </c>
      <c r="O12" s="666">
        <f t="shared" si="0"/>
        <v>46441953.478732176</v>
      </c>
      <c r="P12" s="667"/>
      <c r="Q12" s="667"/>
    </row>
    <row r="13" spans="1:17" x14ac:dyDescent="0.2">
      <c r="A13" s="663" t="s">
        <v>155</v>
      </c>
      <c r="B13" s="683"/>
      <c r="C13" s="665">
        <f>F.G.P.INCREMENTO!C15+'F.G.P. ESTIMACIONES 2014'!C15</f>
        <v>3042859.8184688548</v>
      </c>
      <c r="D13" s="665">
        <f>F.G.P.INCREMENTO!D15+'F.G.P. ESTIMACIONES 2014'!D15</f>
        <v>4241909.7398485765</v>
      </c>
      <c r="E13" s="665">
        <f>F.G.P.INCREMENTO!E15+'F.G.P. ESTIMACIONES 2014'!E15</f>
        <v>3355293.4068642259</v>
      </c>
      <c r="F13" s="665">
        <f>F.G.P.INCREMENTO!F15+'F.G.P. ESTIMACIONES 2014'!F15</f>
        <v>4476615.7616827376</v>
      </c>
      <c r="G13" s="665">
        <f>F.G.P.INCREMENTO!G15+'F.G.P. ESTIMACIONES 2014'!G15</f>
        <v>3669626.1672409261</v>
      </c>
      <c r="H13" s="665">
        <f>F.G.P.INCREMENTO!H15+'F.G.P. ESTIMACIONES 2014'!H15</f>
        <v>3841869.8270351849</v>
      </c>
      <c r="I13" s="665">
        <f>F.G.P.INCREMENTO!I15+'F.G.P. ESTIMACIONES 2014'!I15</f>
        <v>3515329.2808408169</v>
      </c>
      <c r="J13" s="665">
        <f>F.G.P.INCREMENTO!J15+'F.G.P. ESTIMACIONES 2014'!J15</f>
        <v>3604130.7980060377</v>
      </c>
      <c r="K13" s="665">
        <f>F.G.P.INCREMENTO!K15+'F.G.P. ESTIMACIONES 2014'!K15</f>
        <v>3308676.3838207144</v>
      </c>
      <c r="L13" s="665">
        <f>F.G.P.INCREMENTO!L15+'F.G.P. ESTIMACIONES 2014'!L15</f>
        <v>2896598.6769205113</v>
      </c>
      <c r="M13" s="665">
        <f>F.G.P.INCREMENTO!M15+'F.G.P. ESTIMACIONES 2014'!M15</f>
        <v>3299784.9777369923</v>
      </c>
      <c r="N13" s="665">
        <f>F.G.P.INCREMENTO!N15+'F.G.P. ESTIMACIONES 2014'!N15</f>
        <v>3209575.5106942803</v>
      </c>
      <c r="O13" s="666">
        <f t="shared" si="0"/>
        <v>42462270.349159859</v>
      </c>
      <c r="P13" s="667"/>
      <c r="Q13" s="667"/>
    </row>
    <row r="14" spans="1:17" x14ac:dyDescent="0.2">
      <c r="A14" s="663" t="s">
        <v>156</v>
      </c>
      <c r="B14" s="683"/>
      <c r="C14" s="665">
        <f>F.G.P.INCREMENTO!C16+'F.G.P. ESTIMACIONES 2014'!C16</f>
        <v>1873014.7427919228</v>
      </c>
      <c r="D14" s="665">
        <f>F.G.P.INCREMENTO!D16+'F.G.P. ESTIMACIONES 2014'!D16</f>
        <v>2696260.4666990777</v>
      </c>
      <c r="E14" s="665">
        <f>F.G.P.INCREMENTO!E16+'F.G.P. ESTIMACIONES 2014'!E16</f>
        <v>2114505.5239005573</v>
      </c>
      <c r="F14" s="665">
        <f>F.G.P.INCREMENTO!F16+'F.G.P. ESTIMACIONES 2014'!F16</f>
        <v>2908828.4617332383</v>
      </c>
      <c r="G14" s="665">
        <f>F.G.P.INCREMENTO!G16+'F.G.P. ESTIMACIONES 2014'!G16</f>
        <v>2373135.3585312972</v>
      </c>
      <c r="H14" s="665">
        <f>F.G.P.INCREMENTO!H16+'F.G.P. ESTIMACIONES 2014'!H16</f>
        <v>2515333.3166193841</v>
      </c>
      <c r="I14" s="665">
        <f>F.G.P.INCREMENTO!I16+'F.G.P. ESTIMACIONES 2014'!I16</f>
        <v>2188932.160189339</v>
      </c>
      <c r="J14" s="665">
        <f>F.G.P.INCREMENTO!J16+'F.G.P. ESTIMACIONES 2014'!J16</f>
        <v>2313807.088722921</v>
      </c>
      <c r="K14" s="665">
        <f>F.G.P.INCREMENTO!K16+'F.G.P. ESTIMACIONES 2014'!K16</f>
        <v>2052524.1205729982</v>
      </c>
      <c r="L14" s="665">
        <f>F.G.P.INCREMENTO!L16+'F.G.P. ESTIMACIONES 2014'!L16</f>
        <v>1686561.7585576726</v>
      </c>
      <c r="M14" s="665">
        <f>F.G.P.INCREMENTO!M16+'F.G.P. ESTIMACIONES 2014'!M16</f>
        <v>2087759.4458150286</v>
      </c>
      <c r="N14" s="665">
        <f>F.G.P.INCREMENTO!N16+'F.G.P. ESTIMACIONES 2014'!N16</f>
        <v>1976721.8504653694</v>
      </c>
      <c r="O14" s="666">
        <f t="shared" si="0"/>
        <v>26787384.294598807</v>
      </c>
      <c r="P14" s="667"/>
      <c r="Q14" s="667"/>
    </row>
    <row r="15" spans="1:17" x14ac:dyDescent="0.2">
      <c r="A15" s="663" t="s">
        <v>157</v>
      </c>
      <c r="B15" s="683"/>
      <c r="C15" s="665">
        <f>F.G.P.INCREMENTO!C17+'F.G.P. ESTIMACIONES 2014'!C17</f>
        <v>3159046.0980622368</v>
      </c>
      <c r="D15" s="665">
        <f>F.G.P.INCREMENTO!D17+'F.G.P. ESTIMACIONES 2014'!D17</f>
        <v>4454649.4415369779</v>
      </c>
      <c r="E15" s="665">
        <f>F.G.P.INCREMENTO!E17+'F.G.P. ESTIMACIONES 2014'!E17</f>
        <v>3512719.4953487976</v>
      </c>
      <c r="F15" s="665">
        <f>F.G.P.INCREMENTO!F17+'F.G.P. ESTIMACIONES 2014'!F17</f>
        <v>4738905.7657905146</v>
      </c>
      <c r="G15" s="665">
        <f>F.G.P.INCREMENTO!G17+'F.G.P. ESTIMACIONES 2014'!G17</f>
        <v>3877883.4714959478</v>
      </c>
      <c r="H15" s="665">
        <f>F.G.P.INCREMENTO!H17+'F.G.P. ESTIMACIONES 2014'!H17</f>
        <v>4078265.5844878429</v>
      </c>
      <c r="I15" s="665">
        <f>F.G.P.INCREMENTO!I17+'F.G.P. ESTIMACIONES 2014'!I17</f>
        <v>3664511.7423482663</v>
      </c>
      <c r="J15" s="665">
        <f>F.G.P.INCREMENTO!J17+'F.G.P. ESTIMACIONES 2014'!J17</f>
        <v>3798554.6469755052</v>
      </c>
      <c r="K15" s="665">
        <f>F.G.P.INCREMENTO!K17+'F.G.P. ESTIMACIONES 2014'!K17</f>
        <v>3444482.1209484646</v>
      </c>
      <c r="L15" s="665">
        <f>F.G.P.INCREMENTO!L17+'F.G.P. ESTIMACIONES 2014'!L17</f>
        <v>2949727.7046662616</v>
      </c>
      <c r="M15" s="665">
        <f>F.G.P.INCREMENTO!M17+'F.G.P. ESTIMACIONES 2014'!M17</f>
        <v>3459515.3250371898</v>
      </c>
      <c r="N15" s="665">
        <f>F.G.P.INCREMENTO!N17+'F.G.P. ESTIMACIONES 2014'!N17</f>
        <v>3332774.980846996</v>
      </c>
      <c r="O15" s="666">
        <f t="shared" si="0"/>
        <v>44471036.377544999</v>
      </c>
      <c r="P15" s="667"/>
      <c r="Q15" s="667"/>
    </row>
    <row r="16" spans="1:17" x14ac:dyDescent="0.2">
      <c r="A16" s="663" t="s">
        <v>158</v>
      </c>
      <c r="B16" s="683"/>
      <c r="C16" s="665">
        <f>F.G.P.INCREMENTO!C18+'F.G.P. ESTIMACIONES 2014'!C18</f>
        <v>3508947.0093665086</v>
      </c>
      <c r="D16" s="665">
        <f>F.G.P.INCREMENTO!D18+'F.G.P. ESTIMACIONES 2014'!D18</f>
        <v>4832820.6642766092</v>
      </c>
      <c r="E16" s="665">
        <f>F.G.P.INCREMENTO!E18+'F.G.P. ESTIMACIONES 2014'!E18</f>
        <v>3835268.4302019831</v>
      </c>
      <c r="F16" s="665">
        <f>F.G.P.INCREMENTO!F18+'F.G.P. ESTIMACIONES 2014'!F18</f>
        <v>5056437.5981824845</v>
      </c>
      <c r="G16" s="665">
        <f>F.G.P.INCREMENTO!G18+'F.G.P. ESTIMACIONES 2014'!G18</f>
        <v>4152748.0178111689</v>
      </c>
      <c r="H16" s="665">
        <f>F.G.P.INCREMENTO!H18+'F.G.P. ESTIMACIONES 2014'!H18</f>
        <v>4326386.1067574685</v>
      </c>
      <c r="I16" s="665">
        <f>F.G.P.INCREMENTO!I18+'F.G.P. ESTIMACIONES 2014'!I18</f>
        <v>4036453.5708822878</v>
      </c>
      <c r="J16" s="665">
        <f>F.G.P.INCREMENTO!J18+'F.G.P. ESTIMACIONES 2014'!J18</f>
        <v>4090354.3970440608</v>
      </c>
      <c r="K16" s="665">
        <f>F.G.P.INCREMENTO!K18+'F.G.P. ESTIMACIONES 2014'!K18</f>
        <v>3804504.8574540243</v>
      </c>
      <c r="L16" s="665">
        <f>F.G.P.INCREMENTO!L18+'F.G.P. ESTIMACIONES 2014'!L18</f>
        <v>3406890.1856164699</v>
      </c>
      <c r="M16" s="665">
        <f>F.G.P.INCREMENTO!M18+'F.G.P. ESTIMACIONES 2014'!M18</f>
        <v>3766130.647437918</v>
      </c>
      <c r="N16" s="665">
        <f>F.G.P.INCREMENTO!N18+'F.G.P. ESTIMACIONES 2014'!N18</f>
        <v>3700448.8669440825</v>
      </c>
      <c r="O16" s="666">
        <f t="shared" si="0"/>
        <v>48517390.351975061</v>
      </c>
      <c r="P16" s="667"/>
      <c r="Q16" s="667"/>
    </row>
    <row r="17" spans="1:20" x14ac:dyDescent="0.2">
      <c r="A17" s="663" t="s">
        <v>159</v>
      </c>
      <c r="B17" s="683"/>
      <c r="C17" s="665">
        <f>F.G.P.INCREMENTO!C19+'F.G.P. ESTIMACIONES 2014'!C19</f>
        <v>4622390.9675807962</v>
      </c>
      <c r="D17" s="665">
        <f>F.G.P.INCREMENTO!D19+'F.G.P. ESTIMACIONES 2014'!D19</f>
        <v>6167107.8764779558</v>
      </c>
      <c r="E17" s="665">
        <f>F.G.P.INCREMENTO!E19+'F.G.P. ESTIMACIONES 2014'!E19</f>
        <v>4937233.8775358815</v>
      </c>
      <c r="F17" s="665">
        <f>F.G.P.INCREMENTO!F19+'F.G.P. ESTIMACIONES 2014'!F19</f>
        <v>6302395.2969960663</v>
      </c>
      <c r="G17" s="665">
        <f>F.G.P.INCREMENTO!G19+'F.G.P. ESTIMACIONES 2014'!G19</f>
        <v>5203073.0614466434</v>
      </c>
      <c r="H17" s="665">
        <f>F.G.P.INCREMENTO!H19+'F.G.P. ESTIMACIONES 2014'!H19</f>
        <v>5347192.0832886826</v>
      </c>
      <c r="I17" s="665">
        <f>F.G.P.INCREMENTO!I19+'F.G.P. ESTIMACIONES 2014'!I19</f>
        <v>5258590.7653591614</v>
      </c>
      <c r="J17" s="665">
        <f>F.G.P.INCREMENTO!J19+'F.G.P. ESTIMACIONES 2014'!J19</f>
        <v>5165355.1012236718</v>
      </c>
      <c r="K17" s="665">
        <f>F.G.P.INCREMENTO!K19+'F.G.P. ESTIMACIONES 2014'!K19</f>
        <v>4974570.6967610735</v>
      </c>
      <c r="L17" s="665">
        <f>F.G.P.INCREMENTO!L19+'F.G.P. ESTIMACIONES 2014'!L19</f>
        <v>4713496.9476898909</v>
      </c>
      <c r="M17" s="665">
        <f>F.G.P.INCREMENTO!M19+'F.G.P. ESTIMACIONES 2014'!M19</f>
        <v>4828796.8796706572</v>
      </c>
      <c r="N17" s="665">
        <f>F.G.P.INCREMENTO!N19+'F.G.P. ESTIMACIONES 2014'!N19</f>
        <v>4872118.5220945543</v>
      </c>
      <c r="O17" s="666">
        <f t="shared" si="0"/>
        <v>62392322.076125033</v>
      </c>
      <c r="P17" s="667"/>
      <c r="Q17" s="667"/>
    </row>
    <row r="18" spans="1:20" x14ac:dyDescent="0.2">
      <c r="A18" s="663" t="s">
        <v>287</v>
      </c>
      <c r="B18" s="683"/>
      <c r="C18" s="665">
        <f>F.G.P.INCREMENTO!C20+'F.G.P. ESTIMACIONES 2014'!C20</f>
        <v>2369136.5903632063</v>
      </c>
      <c r="D18" s="665">
        <f>F.G.P.INCREMENTO!D20+'F.G.P. ESTIMACIONES 2014'!D20</f>
        <v>3340691.0229451116</v>
      </c>
      <c r="E18" s="665">
        <f>F.G.P.INCREMENTO!E20+'F.G.P. ESTIMACIONES 2014'!E20</f>
        <v>2634324.6231374033</v>
      </c>
      <c r="F18" s="665">
        <f>F.G.P.INCREMENTO!F20+'F.G.P. ESTIMACIONES 2014'!F20</f>
        <v>3553800.0907214042</v>
      </c>
      <c r="G18" s="665">
        <f>F.G.P.INCREMENTO!G20+'F.G.P. ESTIMACIONES 2014'!G20</f>
        <v>2908113.668163171</v>
      </c>
      <c r="H18" s="665">
        <f>F.G.P.INCREMENTO!H20+'F.G.P. ESTIMACIONES 2014'!H20</f>
        <v>3058353.7549287141</v>
      </c>
      <c r="I18" s="665">
        <f>F.G.P.INCREMENTO!I20+'F.G.P. ESTIMACIONES 2014'!I20</f>
        <v>2748186.4040073818</v>
      </c>
      <c r="J18" s="665">
        <f>F.G.P.INCREMENTO!J20+'F.G.P. ESTIMACIONES 2014'!J20</f>
        <v>2848640.2712517483</v>
      </c>
      <c r="K18" s="665">
        <f>F.G.P.INCREMENTO!K20+'F.G.P. ESTIMACIONES 2014'!K20</f>
        <v>2583183.9374975287</v>
      </c>
      <c r="L18" s="665">
        <f>F.G.P.INCREMENTO!L20+'F.G.P. ESTIMACIONES 2014'!L20</f>
        <v>2212256.5206557959</v>
      </c>
      <c r="M18" s="665">
        <f>F.G.P.INCREMENTO!M20+'F.G.P. ESTIMACIONES 2014'!M20</f>
        <v>2594416.3736871937</v>
      </c>
      <c r="N18" s="665">
        <f>F.G.P.INCREMENTO!N20+'F.G.P. ESTIMACIONES 2014'!N20</f>
        <v>2499423.9998903275</v>
      </c>
      <c r="O18" s="666">
        <f t="shared" si="0"/>
        <v>33350527.25724899</v>
      </c>
      <c r="P18" s="667"/>
      <c r="Q18" s="667"/>
    </row>
    <row r="19" spans="1:20" x14ac:dyDescent="0.2">
      <c r="A19" s="663" t="s">
        <v>288</v>
      </c>
      <c r="B19" s="683"/>
      <c r="C19" s="665">
        <f>F.G.P.INCREMENTO!C21+'F.G.P. ESTIMACIONES 2014'!C21</f>
        <v>2923583.3930695793</v>
      </c>
      <c r="D19" s="665">
        <f>F.G.P.INCREMENTO!D21+'F.G.P. ESTIMACIONES 2014'!D21</f>
        <v>4003282.8642341718</v>
      </c>
      <c r="E19" s="665">
        <f>F.G.P.INCREMENTO!E21+'F.G.P. ESTIMACIONES 2014'!E21</f>
        <v>3182001.8413023297</v>
      </c>
      <c r="F19" s="665">
        <f>F.G.P.INCREMENTO!F21+'F.G.P. ESTIMACIONES 2014'!F21</f>
        <v>4170948.3898877306</v>
      </c>
      <c r="G19" s="665">
        <f>F.G.P.INCREMENTO!G21+'F.G.P. ESTIMACIONES 2014'!G21</f>
        <v>3428680.1886972683</v>
      </c>
      <c r="H19" s="665">
        <f>F.G.P.INCREMENTO!H21+'F.G.P. ESTIMACIONES 2014'!H21</f>
        <v>3563445.8559310213</v>
      </c>
      <c r="I19" s="665">
        <f>F.G.P.INCREMENTO!I21+'F.G.P. ESTIMACIONES 2014'!I21</f>
        <v>3356220.0206730356</v>
      </c>
      <c r="J19" s="665">
        <f>F.G.P.INCREMENTO!J21+'F.G.P. ESTIMACIONES 2014'!J21</f>
        <v>3381901.6420892868</v>
      </c>
      <c r="K19" s="665">
        <f>F.G.P.INCREMENTO!K21+'F.G.P. ESTIMACIONES 2014'!K21</f>
        <v>3165485.5170749631</v>
      </c>
      <c r="L19" s="665">
        <f>F.G.P.INCREMENTO!L21+'F.G.P. ESTIMACIONES 2014'!L21</f>
        <v>2864956.3295980887</v>
      </c>
      <c r="M19" s="665">
        <f>F.G.P.INCREMENTO!M21+'F.G.P. ESTIMACIONES 2014'!M21</f>
        <v>3122365.2401615125</v>
      </c>
      <c r="N19" s="665">
        <f>F.G.P.INCREMENTO!N21+'F.G.P. ESTIMACIONES 2014'!N21</f>
        <v>3082841.3969994355</v>
      </c>
      <c r="O19" s="666">
        <f t="shared" si="0"/>
        <v>40245712.679718427</v>
      </c>
      <c r="P19" s="667"/>
      <c r="Q19" s="667"/>
    </row>
    <row r="20" spans="1:20" x14ac:dyDescent="0.2">
      <c r="A20" s="663" t="s">
        <v>289</v>
      </c>
      <c r="B20" s="683"/>
      <c r="C20" s="665">
        <f>F.G.P.INCREMENTO!C22+'F.G.P. ESTIMACIONES 2014'!C22</f>
        <v>8218890.5882036751</v>
      </c>
      <c r="D20" s="665">
        <f>F.G.P.INCREMENTO!D22+'F.G.P. ESTIMACIONES 2014'!D22</f>
        <v>10964901.811559711</v>
      </c>
      <c r="E20" s="665">
        <f>F.G.P.INCREMENTO!E22+'F.G.P. ESTIMACIONES 2014'!E22</f>
        <v>8778360.3784094211</v>
      </c>
      <c r="F20" s="665">
        <f>F.G.P.INCREMENTO!F22+'F.G.P. ESTIMACIONES 2014'!F22</f>
        <v>11204980.280032646</v>
      </c>
      <c r="G20" s="665">
        <f>F.G.P.INCREMENTO!G22+'F.G.P. ESTIMACIONES 2014'!G22</f>
        <v>9250588.1813095734</v>
      </c>
      <c r="H20" s="665">
        <f>F.G.P.INCREMENTO!H22+'F.G.P. ESTIMACIONES 2014'!H22</f>
        <v>9506590.4436165504</v>
      </c>
      <c r="I20" s="665">
        <f>F.G.P.INCREMENTO!I22+'F.G.P. ESTIMACIONES 2014'!I22</f>
        <v>9349918.8337025698</v>
      </c>
      <c r="J20" s="665">
        <f>F.G.P.INCREMENTO!J22+'F.G.P. ESTIMACIONES 2014'!J22</f>
        <v>9183654.8033504374</v>
      </c>
      <c r="K20" s="665">
        <f>F.G.P.INCREMENTO!K22+'F.G.P. ESTIMACIONES 2014'!K22</f>
        <v>8844977.6082488187</v>
      </c>
      <c r="L20" s="665">
        <f>F.G.P.INCREMENTO!L22+'F.G.P. ESTIMACIONES 2014'!L22</f>
        <v>8381549.0936767403</v>
      </c>
      <c r="M20" s="665">
        <f>F.G.P.INCREMENTO!M22+'F.G.P. ESTIMACIONES 2014'!M22</f>
        <v>8585501.534057267</v>
      </c>
      <c r="N20" s="665">
        <f>F.G.P.INCREMENTO!N22+'F.G.P. ESTIMACIONES 2014'!N22</f>
        <v>8662913.7684390917</v>
      </c>
      <c r="O20" s="666">
        <f t="shared" si="0"/>
        <v>110932827.32460648</v>
      </c>
      <c r="P20" s="667"/>
      <c r="Q20" s="667"/>
    </row>
    <row r="21" spans="1:20" x14ac:dyDescent="0.2">
      <c r="A21" s="663" t="s">
        <v>163</v>
      </c>
      <c r="B21" s="683"/>
      <c r="C21" s="665">
        <f>F.G.P.INCREMENTO!C23+'F.G.P. ESTIMACIONES 2014'!C23</f>
        <v>3735815.5721277059</v>
      </c>
      <c r="D21" s="665">
        <f>F.G.P.INCREMENTO!D23+'F.G.P. ESTIMACIONES 2014'!D23</f>
        <v>5175037.1223575976</v>
      </c>
      <c r="E21" s="665">
        <f>F.G.P.INCREMENTO!E23+'F.G.P. ESTIMACIONES 2014'!E23</f>
        <v>4100412.3168517444</v>
      </c>
      <c r="F21" s="665">
        <f>F.G.P.INCREMENTO!F23+'F.G.P. ESTIMACIONES 2014'!F23</f>
        <v>5436898.814142108</v>
      </c>
      <c r="G21" s="665">
        <f>F.G.P.INCREMENTO!G23+'F.G.P. ESTIMACIONES 2014'!G23</f>
        <v>4461174.1323009515</v>
      </c>
      <c r="H21" s="665">
        <f>F.G.P.INCREMENTO!H23+'F.G.P. ESTIMACIONES 2014'!H23</f>
        <v>4658674.9137229212</v>
      </c>
      <c r="I21" s="665">
        <f>F.G.P.INCREMENTO!I23+'F.G.P. ESTIMACIONES 2014'!I23</f>
        <v>4306192.5658507338</v>
      </c>
      <c r="J21" s="665">
        <f>F.G.P.INCREMENTO!J23+'F.G.P. ESTIMACIONES 2014'!J23</f>
        <v>4388104.9825037848</v>
      </c>
      <c r="K21" s="665">
        <f>F.G.P.INCREMENTO!K23+'F.G.P. ESTIMACIONES 2014'!K23</f>
        <v>4056032.2586719347</v>
      </c>
      <c r="L21" s="665">
        <f>F.G.P.INCREMENTO!L23+'F.G.P. ESTIMACIONES 2014'!L23</f>
        <v>3593478.4341033334</v>
      </c>
      <c r="M21" s="665">
        <f>F.G.P.INCREMENTO!M23+'F.G.P. ESTIMACIONES 2014'!M23</f>
        <v>4029397.0272093937</v>
      </c>
      <c r="N21" s="665">
        <f>F.G.P.INCREMENTO!N23+'F.G.P. ESTIMACIONES 2014'!N23</f>
        <v>3940078.2866624664</v>
      </c>
      <c r="O21" s="666">
        <f t="shared" si="0"/>
        <v>51881296.426504672</v>
      </c>
      <c r="P21" s="667"/>
      <c r="Q21" s="667"/>
    </row>
    <row r="22" spans="1:20" x14ac:dyDescent="0.2">
      <c r="A22" s="663" t="s">
        <v>164</v>
      </c>
      <c r="B22" s="683"/>
      <c r="C22" s="665">
        <f>F.G.P.INCREMENTO!C24+'F.G.P. ESTIMACIONES 2014'!C24</f>
        <v>36601151.608812161</v>
      </c>
      <c r="D22" s="665">
        <f>F.G.P.INCREMENTO!D24+'F.G.P. ESTIMACIONES 2014'!D24</f>
        <v>47608564.587199204</v>
      </c>
      <c r="E22" s="665">
        <f>F.G.P.INCREMENTO!E24+'F.G.P. ESTIMACIONES 2014'!E24</f>
        <v>38387512.899189711</v>
      </c>
      <c r="F22" s="665">
        <f>F.G.P.INCREMENTO!F24+'F.G.P. ESTIMACIONES 2014'!F24</f>
        <v>47701253.618851975</v>
      </c>
      <c r="G22" s="665">
        <f>F.G.P.INCREMENTO!G24+'F.G.P. ESTIMACIONES 2014'!G24</f>
        <v>39556360.401699387</v>
      </c>
      <c r="H22" s="665">
        <f>F.G.P.INCREMENTO!H24+'F.G.P. ESTIMACIONES 2014'!H24</f>
        <v>40177698.242197387</v>
      </c>
      <c r="I22" s="665">
        <f>F.G.P.INCREMENTO!I24+'F.G.P. ESTIMACIONES 2014'!I24</f>
        <v>41278158.834374055</v>
      </c>
      <c r="J22" s="665">
        <f>F.G.P.INCREMENTO!J24+'F.G.P. ESTIMACIONES 2014'!J24</f>
        <v>39530919.44544737</v>
      </c>
      <c r="K22" s="665">
        <f>F.G.P.INCREMENTO!K24+'F.G.P. ESTIMACIONES 2014'!K24</f>
        <v>39161485.933240309</v>
      </c>
      <c r="L22" s="665">
        <f>F.G.P.INCREMENTO!L24+'F.G.P. ESTIMACIONES 2014'!L24</f>
        <v>38708155.513942257</v>
      </c>
      <c r="M22" s="665">
        <f>F.G.P.INCREMENTO!M24+'F.G.P. ESTIMACIONES 2014'!M24</f>
        <v>37422231.613701358</v>
      </c>
      <c r="N22" s="665">
        <f>F.G.P.INCREMENTO!N24+'F.G.P. ESTIMACIONES 2014'!N24</f>
        <v>38562942.425779223</v>
      </c>
      <c r="O22" s="666">
        <f t="shared" si="0"/>
        <v>484696435.12443435</v>
      </c>
      <c r="P22" s="667"/>
      <c r="Q22" s="667"/>
      <c r="T22" s="667"/>
    </row>
    <row r="23" spans="1:20" x14ac:dyDescent="0.2">
      <c r="A23" s="663" t="s">
        <v>165</v>
      </c>
      <c r="B23" s="683"/>
      <c r="C23" s="665">
        <f>F.G.P.INCREMENTO!C25+'F.G.P. ESTIMACIONES 2014'!C25</f>
        <v>3913548.9703427693</v>
      </c>
      <c r="D23" s="665">
        <f>F.G.P.INCREMENTO!D25+'F.G.P. ESTIMACIONES 2014'!D25</f>
        <v>5340132.8992088987</v>
      </c>
      <c r="E23" s="665">
        <f>F.G.P.INCREMENTO!E25+'F.G.P. ESTIMACIONES 2014'!E25</f>
        <v>4248666.094699638</v>
      </c>
      <c r="F23" s="665">
        <f>F.G.P.INCREMENTO!F25+'F.G.P. ESTIMACIONES 2014'!F25</f>
        <v>5549609.0561882155</v>
      </c>
      <c r="G23" s="665">
        <f>F.G.P.INCREMENTO!G25+'F.G.P. ESTIMACIONES 2014'!G25</f>
        <v>4564558.552414096</v>
      </c>
      <c r="H23" s="665">
        <f>F.G.P.INCREMENTO!H25+'F.G.P. ESTIMACIONES 2014'!H25</f>
        <v>4737008.8823605487</v>
      </c>
      <c r="I23" s="665">
        <f>F.G.P.INCREMENTO!I25+'F.G.P. ESTIMACIONES 2014'!I25</f>
        <v>4487168.7677423237</v>
      </c>
      <c r="J23" s="665">
        <f>F.G.P.INCREMENTO!J25+'F.G.P. ESTIMACIONES 2014'!J25</f>
        <v>4506117.9997563288</v>
      </c>
      <c r="K23" s="665">
        <f>F.G.P.INCREMENTO!K25+'F.G.P. ESTIMACIONES 2014'!K25</f>
        <v>4233871.4051307878</v>
      </c>
      <c r="L23" s="665">
        <f>F.G.P.INCREMENTO!L25+'F.G.P. ESTIMACIONES 2014'!L25</f>
        <v>3856257.6283961125</v>
      </c>
      <c r="M23" s="665">
        <f>F.G.P.INCREMENTO!M25+'F.G.P. ESTIMACIONES 2014'!M25</f>
        <v>4167204.8725243122</v>
      </c>
      <c r="N23" s="665">
        <f>F.G.P.INCREMENTO!N25+'F.G.P. ESTIMACIONES 2014'!N25</f>
        <v>4126495.241836994</v>
      </c>
      <c r="O23" s="666">
        <f t="shared" si="0"/>
        <v>53730640.370601021</v>
      </c>
      <c r="P23" s="667"/>
      <c r="Q23" s="667"/>
      <c r="T23" s="667"/>
    </row>
    <row r="24" spans="1:20" ht="13.5" thickBot="1" x14ac:dyDescent="0.25">
      <c r="A24" s="663" t="s">
        <v>166</v>
      </c>
      <c r="B24" s="683"/>
      <c r="C24" s="665">
        <f>F.G.P.INCREMENTO!C26+'F.G.P. ESTIMACIONES 2014'!C26</f>
        <v>3756541.5108547178</v>
      </c>
      <c r="D24" s="665">
        <f>F.G.P.INCREMENTO!D26+'F.G.P. ESTIMACIONES 2014'!D26</f>
        <v>5479234.722938518</v>
      </c>
      <c r="E24" s="665">
        <f>F.G.P.INCREMENTO!E26+'F.G.P. ESTIMACIONES 2014'!E26</f>
        <v>4282203.3076315252</v>
      </c>
      <c r="F24" s="665">
        <f>F.G.P.INCREMENTO!F26+'F.G.P. ESTIMACIONES 2014'!F26</f>
        <v>5962790.2566087795</v>
      </c>
      <c r="G24" s="665">
        <f>F.G.P.INCREMENTO!G26+'F.G.P. ESTIMACIONES 2014'!G26</f>
        <v>4855660.2874562657</v>
      </c>
      <c r="H24" s="665">
        <f>F.G.P.INCREMENTO!H26+'F.G.P. ESTIMACIONES 2014'!H26</f>
        <v>5171254.4695173902</v>
      </c>
      <c r="I24" s="665">
        <f>F.G.P.INCREMENTO!I26+'F.G.P. ESTIMACIONES 2014'!I26</f>
        <v>4411235.8328686235</v>
      </c>
      <c r="J24" s="665">
        <f>F.G.P.INCREMENTO!J26+'F.G.P. ESTIMACIONES 2014'!J26</f>
        <v>4720692.6620227527</v>
      </c>
      <c r="K24" s="665">
        <f>F.G.P.INCREMENTO!K26+'F.G.P. ESTIMACIONES 2014'!K26</f>
        <v>4129919.291889024</v>
      </c>
      <c r="L24" s="665">
        <f>F.G.P.INCREMENTO!L26+'F.G.P. ESTIMACIONES 2014'!L26</f>
        <v>3301557.3674066365</v>
      </c>
      <c r="M24" s="665">
        <f>F.G.P.INCREMENTO!M26+'F.G.P. ESTIMACIONES 2014'!M26</f>
        <v>4234798.183520291</v>
      </c>
      <c r="N24" s="665">
        <f>F.G.P.INCREMENTO!N26+'F.G.P. ESTIMACIONES 2014'!N26</f>
        <v>3965450.6116895741</v>
      </c>
      <c r="O24" s="666">
        <f t="shared" si="0"/>
        <v>54271338.504404105</v>
      </c>
      <c r="P24" s="667"/>
      <c r="Q24" s="667"/>
      <c r="T24" s="667"/>
    </row>
    <row r="25" spans="1:20" ht="13.5" thickBot="1" x14ac:dyDescent="0.25">
      <c r="A25" s="668" t="s">
        <v>290</v>
      </c>
      <c r="B25" s="684">
        <f>SUM(B5:B24)</f>
        <v>0</v>
      </c>
      <c r="C25" s="670">
        <f>SUM(C5:C24)</f>
        <v>104478515.92906891</v>
      </c>
      <c r="D25" s="670">
        <f t="shared" ref="D25:N25" si="1">SUM(D5:D24)</f>
        <v>143338657.78858045</v>
      </c>
      <c r="E25" s="670">
        <f t="shared" si="1"/>
        <v>113872529.73418762</v>
      </c>
      <c r="F25" s="670">
        <f t="shared" si="1"/>
        <v>149550686.70664352</v>
      </c>
      <c r="G25" s="670">
        <f t="shared" si="1"/>
        <v>122898649.00876023</v>
      </c>
      <c r="H25" s="670">
        <f t="shared" si="1"/>
        <v>127831702.73029016</v>
      </c>
      <c r="I25" s="670">
        <f t="shared" si="1"/>
        <v>120020575.47186017</v>
      </c>
      <c r="J25" s="670">
        <f t="shared" si="1"/>
        <v>121165451.92379247</v>
      </c>
      <c r="K25" s="670">
        <f t="shared" si="1"/>
        <v>113174629.33888534</v>
      </c>
      <c r="L25" s="670">
        <f t="shared" si="1"/>
        <v>102071512.61895551</v>
      </c>
      <c r="M25" s="670">
        <f t="shared" si="1"/>
        <v>111765334.69932057</v>
      </c>
      <c r="N25" s="670">
        <f t="shared" si="1"/>
        <v>110173346.34965503</v>
      </c>
      <c r="O25" s="670">
        <f>SUM(C25:N25)</f>
        <v>1440341592.3000002</v>
      </c>
      <c r="P25" s="667"/>
      <c r="Q25" s="667"/>
      <c r="T25" s="667"/>
    </row>
    <row r="26" spans="1:20" x14ac:dyDescent="0.2">
      <c r="A26" s="672" t="s">
        <v>291</v>
      </c>
    </row>
  </sheetData>
  <mergeCells count="2">
    <mergeCell ref="A1:O1"/>
    <mergeCell ref="A2:O2"/>
  </mergeCells>
  <printOptions horizontalCentered="1"/>
  <pageMargins left="0.78740157480314965" right="0.78740157480314965" top="0.98425196850393704" bottom="0.98425196850393704" header="0" footer="0"/>
  <pageSetup paperSize="5" scale="93"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O29"/>
  <sheetViews>
    <sheetView workbookViewId="0">
      <selection sqref="A1:O1"/>
    </sheetView>
  </sheetViews>
  <sheetFormatPr baseColWidth="10" defaultRowHeight="12.75" x14ac:dyDescent="0.2"/>
  <cols>
    <col min="1" max="1" width="16" style="658" customWidth="1"/>
    <col min="2" max="2" width="9.28515625" style="658" hidden="1" customWidth="1"/>
    <col min="3" max="10" width="8.7109375" style="658" bestFit="1" customWidth="1"/>
    <col min="11" max="11" width="9.7109375" style="658" bestFit="1" customWidth="1"/>
    <col min="12" max="12" width="8.7109375" style="658" bestFit="1" customWidth="1"/>
    <col min="13" max="13" width="9.42578125" style="658" bestFit="1" customWidth="1"/>
    <col min="14" max="14" width="8.7109375" style="658" bestFit="1" customWidth="1"/>
    <col min="15" max="15" width="9.5703125" style="658" bestFit="1" customWidth="1"/>
    <col min="16" max="16384" width="11.42578125" style="658"/>
  </cols>
  <sheetData>
    <row r="1" spans="1:15" x14ac:dyDescent="0.2">
      <c r="A1" s="1020"/>
      <c r="B1" s="1020"/>
      <c r="C1" s="1020"/>
      <c r="D1" s="1020"/>
      <c r="E1" s="1020"/>
      <c r="F1" s="1020"/>
      <c r="G1" s="1020"/>
      <c r="H1" s="1020"/>
      <c r="I1" s="1020"/>
      <c r="J1" s="1020"/>
      <c r="K1" s="1020"/>
      <c r="L1" s="1020"/>
      <c r="M1" s="1020"/>
      <c r="N1" s="1020"/>
      <c r="O1" s="1020"/>
    </row>
    <row r="2" spans="1:15" x14ac:dyDescent="0.2">
      <c r="A2" s="1021" t="s">
        <v>467</v>
      </c>
      <c r="B2" s="1021"/>
      <c r="C2" s="1021"/>
      <c r="D2" s="1021"/>
      <c r="E2" s="1021"/>
      <c r="F2" s="1021"/>
      <c r="G2" s="1021"/>
      <c r="H2" s="1021"/>
      <c r="I2" s="1021"/>
      <c r="J2" s="1021"/>
      <c r="K2" s="1021"/>
      <c r="L2" s="1021"/>
      <c r="M2" s="1021"/>
      <c r="N2" s="1021"/>
      <c r="O2" s="1021"/>
    </row>
    <row r="3" spans="1:15" ht="13.5" thickBot="1" x14ac:dyDescent="0.25"/>
    <row r="4" spans="1:15" ht="23.25" thickBot="1" x14ac:dyDescent="0.25">
      <c r="A4" s="659" t="s">
        <v>351</v>
      </c>
      <c r="B4" s="660" t="s">
        <v>283</v>
      </c>
      <c r="C4" s="659" t="s">
        <v>1</v>
      </c>
      <c r="D4" s="661" t="s">
        <v>2</v>
      </c>
      <c r="E4" s="659" t="s">
        <v>3</v>
      </c>
      <c r="F4" s="661" t="s">
        <v>4</v>
      </c>
      <c r="G4" s="659" t="s">
        <v>5</v>
      </c>
      <c r="H4" s="659" t="s">
        <v>6</v>
      </c>
      <c r="I4" s="659" t="s">
        <v>7</v>
      </c>
      <c r="J4" s="661" t="s">
        <v>8</v>
      </c>
      <c r="K4" s="659" t="s">
        <v>9</v>
      </c>
      <c r="L4" s="661" t="s">
        <v>10</v>
      </c>
      <c r="M4" s="659" t="s">
        <v>11</v>
      </c>
      <c r="N4" s="659" t="s">
        <v>12</v>
      </c>
      <c r="O4" s="662" t="s">
        <v>169</v>
      </c>
    </row>
    <row r="5" spans="1:15" x14ac:dyDescent="0.2">
      <c r="A5" s="663" t="s">
        <v>284</v>
      </c>
      <c r="B5" s="683"/>
      <c r="C5" s="665">
        <f>'F.F.M30%'!C7+'F.F.M.70%'!C7+'F.F.M.ESTIIMACIONES 2014'!C7</f>
        <v>1322013.1335201531</v>
      </c>
      <c r="D5" s="665">
        <f>'F.F.M30%'!D7+'F.F.M.70%'!D7+'F.F.M.ESTIIMACIONES 2014'!D7</f>
        <v>1655639.0904723422</v>
      </c>
      <c r="E5" s="665">
        <f>'F.F.M30%'!E7+'F.F.M.70%'!E7+'F.F.M.ESTIIMACIONES 2014'!E7</f>
        <v>1357475.1968500149</v>
      </c>
      <c r="F5" s="665">
        <f>'F.F.M30%'!F7+'F.F.M.70%'!F7+'F.F.M.ESTIIMACIONES 2014'!F7</f>
        <v>1633380.737161241</v>
      </c>
      <c r="G5" s="665">
        <f>'F.F.M30%'!G7+'F.F.M.70%'!G7+'F.F.M.ESTIIMACIONES 2014'!G7</f>
        <v>1360974.8424622808</v>
      </c>
      <c r="H5" s="665">
        <f>'F.F.M30%'!H7+'F.F.M.70%'!H7+'F.F.M.ESTIIMACIONES 2014'!H7</f>
        <v>1436290.3793559603</v>
      </c>
      <c r="I5" s="665">
        <f>'F.F.M30%'!I7+'F.F.M.70%'!I7+'F.F.M.ESTIIMACIONES 2014'!I7</f>
        <v>1476808.5435782743</v>
      </c>
      <c r="J5" s="665">
        <f>'F.F.M30%'!J7+'F.F.M.70%'!J7+'F.F.M.ESTIIMACIONES 2014'!J7</f>
        <v>1371414.4093066023</v>
      </c>
      <c r="K5" s="665">
        <f>'F.F.M30%'!K7+'F.F.M.70%'!K7+'F.F.M.ESTIIMACIONES 2014'!K7</f>
        <v>1405466.8663878769</v>
      </c>
      <c r="L5" s="665">
        <f>'F.F.M30%'!L7+'F.F.M.70%'!L7+'F.F.M.ESTIIMACIONES 2014'!L7</f>
        <v>1340846.7956871174</v>
      </c>
      <c r="M5" s="665">
        <f>'F.F.M30%'!M7+'F.F.M.70%'!M7+'F.F.M.ESTIIMACIONES 2014'!M7</f>
        <v>1317996.4908818004</v>
      </c>
      <c r="N5" s="665">
        <f>'F.F.M30%'!N7+'F.F.M.70%'!N7+'F.F.M.ESTIIMACIONES 2014'!N7</f>
        <v>1392583.7123750623</v>
      </c>
      <c r="O5" s="666">
        <f t="shared" ref="O5:O25" si="0">SUM(C5:N5)</f>
        <v>17070890.198038727</v>
      </c>
    </row>
    <row r="6" spans="1:15" x14ac:dyDescent="0.2">
      <c r="A6" s="663" t="s">
        <v>148</v>
      </c>
      <c r="B6" s="683"/>
      <c r="C6" s="665">
        <f>'F.F.M30%'!C8+'F.F.M.70%'!C8+'F.F.M.ESTIIMACIONES 2014'!C8</f>
        <v>891210.60074730532</v>
      </c>
      <c r="D6" s="665">
        <f>'F.F.M30%'!D8+'F.F.M.70%'!D8+'F.F.M.ESTIIMACIONES 2014'!D8</f>
        <v>1081899.6911122163</v>
      </c>
      <c r="E6" s="665">
        <f>'F.F.M30%'!E8+'F.F.M.70%'!E8+'F.F.M.ESTIIMACIONES 2014'!E8</f>
        <v>897137.18490691704</v>
      </c>
      <c r="F6" s="665">
        <f>'F.F.M30%'!F8+'F.F.M.70%'!F8+'F.F.M.ESTIIMACIONES 2014'!F8</f>
        <v>1045185.9623689564</v>
      </c>
      <c r="G6" s="665">
        <f>'F.F.M30%'!G8+'F.F.M.70%'!G8+'F.F.M.ESTIIMACIONES 2014'!G8</f>
        <v>875653.08918540529</v>
      </c>
      <c r="H6" s="665">
        <f>'F.F.M30%'!H8+'F.F.M.70%'!H8+'F.F.M.ESTIIMACIONES 2014'!H8</f>
        <v>929163.21163816459</v>
      </c>
      <c r="I6" s="665">
        <f>'F.F.M30%'!I8+'F.F.M.70%'!I8+'F.F.M.ESTIIMACIONES 2014'!I8</f>
        <v>986466.44815504143</v>
      </c>
      <c r="J6" s="665">
        <f>'F.F.M30%'!J8+'F.F.M.70%'!J8+'F.F.M.ESTIIMACIONES 2014'!J8</f>
        <v>889656.15110324242</v>
      </c>
      <c r="K6" s="665">
        <f>'F.F.M30%'!K8+'F.F.M.70%'!K8+'F.F.M.ESTIIMACIONES 2014'!K8</f>
        <v>941701.3131234349</v>
      </c>
      <c r="L6" s="665">
        <f>'F.F.M30%'!L8+'F.F.M.70%'!L8+'F.F.M.ESTIIMACIONES 2014'!L8</f>
        <v>914511.68208361953</v>
      </c>
      <c r="M6" s="665">
        <f>'F.F.M30%'!M8+'F.F.M.70%'!M8+'F.F.M.ESTIIMACIONES 2014'!M8</f>
        <v>867784.25349758682</v>
      </c>
      <c r="N6" s="665">
        <f>'F.F.M30%'!N8+'F.F.M.70%'!N8+'F.F.M.ESTIIMACIONES 2014'!N8</f>
        <v>938426.9154265587</v>
      </c>
      <c r="O6" s="666">
        <f t="shared" si="0"/>
        <v>11258796.503348449</v>
      </c>
    </row>
    <row r="7" spans="1:15" x14ac:dyDescent="0.2">
      <c r="A7" s="663" t="s">
        <v>149</v>
      </c>
      <c r="B7" s="683"/>
      <c r="C7" s="665">
        <f>'F.F.M30%'!C9+'F.F.M.70%'!C9+'F.F.M.ESTIIMACIONES 2014'!C9</f>
        <v>837245.04148658679</v>
      </c>
      <c r="D7" s="665">
        <f>'F.F.M30%'!D9+'F.F.M.70%'!D9+'F.F.M.ESTIIMACIONES 2014'!D9</f>
        <v>1005345.0181647957</v>
      </c>
      <c r="E7" s="665">
        <f>'F.F.M30%'!E9+'F.F.M.70%'!E9+'F.F.M.ESTIIMACIONES 2014'!E9</f>
        <v>837010.79707804753</v>
      </c>
      <c r="F7" s="665">
        <f>'F.F.M30%'!F9+'F.F.M.70%'!F9+'F.F.M.ESTIIMACIONES 2014'!F9</f>
        <v>963849.0683621486</v>
      </c>
      <c r="G7" s="665">
        <f>'F.F.M30%'!G9+'F.F.M.70%'!G9+'F.F.M.ESTIIMACIONES 2014'!G9</f>
        <v>809133.43315086281</v>
      </c>
      <c r="H7" s="665">
        <f>'F.F.M30%'!H9+'F.F.M.70%'!H9+'F.F.M.ESTIIMACIONES 2014'!H9</f>
        <v>860286.75539656496</v>
      </c>
      <c r="I7" s="665">
        <f>'F.F.M30%'!I9+'F.F.M.70%'!I9+'F.F.M.ESTIIMACIONES 2014'!I9</f>
        <v>923797.39461464621</v>
      </c>
      <c r="J7" s="665">
        <f>'F.F.M30%'!J9+'F.F.M.70%'!J9+'F.F.M.ESTIIMACIONES 2014'!J9</f>
        <v>824536.29579451575</v>
      </c>
      <c r="K7" s="665">
        <f>'F.F.M30%'!K9+'F.F.M.70%'!K9+'F.F.M.ESTIIMACIONES 2014'!K9</f>
        <v>882817.03835760686</v>
      </c>
      <c r="L7" s="665">
        <f>'F.F.M30%'!L9+'F.F.M.70%'!L9+'F.F.M.ESTIIMACIONES 2014'!L9</f>
        <v>862557.2941511909</v>
      </c>
      <c r="M7" s="665">
        <f>'F.F.M30%'!M9+'F.F.M.70%'!M9+'F.F.M.ESTIIMACIONES 2014'!M9</f>
        <v>808551.37531160237</v>
      </c>
      <c r="N7" s="665">
        <f>'F.F.M30%'!N9+'F.F.M.70%'!N9+'F.F.M.ESTIIMACIONES 2014'!N9</f>
        <v>881486.88779788814</v>
      </c>
      <c r="O7" s="666">
        <f t="shared" si="0"/>
        <v>10496616.399666457</v>
      </c>
    </row>
    <row r="8" spans="1:15" x14ac:dyDescent="0.2">
      <c r="A8" s="663" t="s">
        <v>285</v>
      </c>
      <c r="B8" s="683"/>
      <c r="C8" s="665">
        <f>'F.F.M30%'!C10+'F.F.M.70%'!C10+'F.F.M.ESTIIMACIONES 2014'!C10</f>
        <v>1491369.8299532714</v>
      </c>
      <c r="D8" s="665">
        <f>'F.F.M30%'!D10+'F.F.M.70%'!D10+'F.F.M.ESTIIMACIONES 2014'!D10</f>
        <v>3338027.3383213542</v>
      </c>
      <c r="E8" s="665">
        <f>'F.F.M30%'!E10+'F.F.M.70%'!E10+'F.F.M.ESTIIMACIONES 2014'!E10</f>
        <v>2303910.5075740987</v>
      </c>
      <c r="F8" s="665">
        <f>'F.F.M30%'!F10+'F.F.M.70%'!F10+'F.F.M.ESTIIMACIONES 2014'!F10</f>
        <v>4245686.5207385235</v>
      </c>
      <c r="G8" s="665">
        <f>'F.F.M30%'!G10+'F.F.M.70%'!G10+'F.F.M.ESTIIMACIONES 2014'!G10</f>
        <v>3332347.8686838811</v>
      </c>
      <c r="H8" s="665">
        <f>'F.F.M30%'!H10+'F.F.M.70%'!H10+'F.F.M.ESTIIMACIONES 2014'!H10</f>
        <v>3299685.7532541603</v>
      </c>
      <c r="I8" s="665">
        <f>'F.F.M30%'!I10+'F.F.M.70%'!I10+'F.F.M.ESTIIMACIONES 2014'!I10</f>
        <v>2056854.2735561449</v>
      </c>
      <c r="J8" s="665">
        <f>'F.F.M30%'!J10+'F.F.M.70%'!J10+'F.F.M.ESTIIMACIONES 2014'!J10</f>
        <v>3044837.5457127783</v>
      </c>
      <c r="K8" s="665">
        <f>'F.F.M30%'!K10+'F.F.M.70%'!K10+'F.F.M.ESTIIMACIONES 2014'!K10</f>
        <v>1833354.4420919756</v>
      </c>
      <c r="L8" s="665">
        <f>'F.F.M30%'!L10+'F.F.M.70%'!L10+'F.F.M.ESTIIMACIONES 2014'!L10</f>
        <v>1056957.2240856176</v>
      </c>
      <c r="M8" s="665">
        <f>'F.F.M30%'!M10+'F.F.M.70%'!M10+'F.F.M.ESTIIMACIONES 2014'!M10</f>
        <v>2377066.6331531638</v>
      </c>
      <c r="N8" s="665">
        <f>'F.F.M30%'!N10+'F.F.M.70%'!N10+'F.F.M.ESTIIMACIONES 2014'!N10</f>
        <v>1586343.0753289603</v>
      </c>
      <c r="O8" s="666">
        <f t="shared" si="0"/>
        <v>29966441.012453929</v>
      </c>
    </row>
    <row r="9" spans="1:15" x14ac:dyDescent="0.2">
      <c r="A9" s="663" t="s">
        <v>151</v>
      </c>
      <c r="B9" s="683"/>
      <c r="C9" s="665">
        <f>'F.F.M30%'!C11+'F.F.M.70%'!C11+'F.F.M.ESTIIMACIONES 2014'!C11</f>
        <v>1766577.8120170794</v>
      </c>
      <c r="D9" s="665">
        <f>'F.F.M30%'!D11+'F.F.M.70%'!D11+'F.F.M.ESTIIMACIONES 2014'!D11</f>
        <v>2440173.2941410108</v>
      </c>
      <c r="E9" s="665">
        <f>'F.F.M30%'!E11+'F.F.M.70%'!E11+'F.F.M.ESTIIMACIONES 2014'!E11</f>
        <v>1933646.5472928074</v>
      </c>
      <c r="F9" s="665">
        <f>'F.F.M30%'!F11+'F.F.M.70%'!F11+'F.F.M.ESTIIMACIONES 2014'!F11</f>
        <v>2554934.8648334108</v>
      </c>
      <c r="G9" s="665">
        <f>'F.F.M30%'!G11+'F.F.M.70%'!G11+'F.F.M.ESTIIMACIONES 2014'!G11</f>
        <v>2097037.3475027087</v>
      </c>
      <c r="H9" s="665">
        <f>'F.F.M30%'!H11+'F.F.M.70%'!H11+'F.F.M.ESTIIMACIONES 2014'!H11</f>
        <v>2179457.2250025915</v>
      </c>
      <c r="I9" s="665">
        <f>'F.F.M30%'!I11+'F.F.M.70%'!I11+'F.F.M.ESTIIMACIONES 2014'!I11</f>
        <v>2033979.6212678349</v>
      </c>
      <c r="J9" s="665">
        <f>'F.F.M30%'!J11+'F.F.M.70%'!J11+'F.F.M.ESTIIMACIONES 2014'!J11</f>
        <v>2064621.8183427351</v>
      </c>
      <c r="K9" s="665">
        <f>'F.F.M30%'!K11+'F.F.M.70%'!K11+'F.F.M.ESTIIMACIONES 2014'!K11</f>
        <v>1916490.7204400816</v>
      </c>
      <c r="L9" s="665">
        <f>'F.F.M30%'!L11+'F.F.M.70%'!L11+'F.F.M.ESTIIMACIONES 2014'!L11</f>
        <v>1721153.9665827744</v>
      </c>
      <c r="M9" s="665">
        <f>'F.F.M30%'!M11+'F.F.M.70%'!M11+'F.F.M.ESTIIMACIONES 2014'!M11</f>
        <v>1899124.9294453044</v>
      </c>
      <c r="N9" s="665">
        <f>'F.F.M30%'!N11+'F.F.M.70%'!N11+'F.F.M.ESTIIMACIONES 2014'!N11</f>
        <v>1863259.683663921</v>
      </c>
      <c r="O9" s="666">
        <f t="shared" si="0"/>
        <v>24470457.83053226</v>
      </c>
    </row>
    <row r="10" spans="1:15" x14ac:dyDescent="0.2">
      <c r="A10" s="663" t="s">
        <v>286</v>
      </c>
      <c r="B10" s="683"/>
      <c r="C10" s="665">
        <f>'F.F.M30%'!C12+'F.F.M.70%'!C12+'F.F.M.ESTIIMACIONES 2014'!C12</f>
        <v>569821.89258557698</v>
      </c>
      <c r="D10" s="665">
        <f>'F.F.M30%'!D12+'F.F.M.70%'!D12+'F.F.M.ESTIIMACIONES 2014'!D12</f>
        <v>783244.10361743812</v>
      </c>
      <c r="E10" s="665">
        <f>'F.F.M30%'!E12+'F.F.M.70%'!E12+'F.F.M.ESTIIMACIONES 2014'!E12</f>
        <v>621687.81062929891</v>
      </c>
      <c r="F10" s="665">
        <f>'F.F.M30%'!F12+'F.F.M.70%'!F12+'F.F.M.ESTIIMACIONES 2014'!F12</f>
        <v>817818.33584954031</v>
      </c>
      <c r="G10" s="665">
        <f>'F.F.M30%'!G12+'F.F.M.70%'!G12+'F.F.M.ESTIIMACIONES 2014'!G12</f>
        <v>671707.52289759647</v>
      </c>
      <c r="H10" s="665">
        <f>'F.F.M30%'!H12+'F.F.M.70%'!H12+'F.F.M.ESTIIMACIONES 2014'!H12</f>
        <v>698600.68489358854</v>
      </c>
      <c r="I10" s="665">
        <f>'F.F.M30%'!I12+'F.F.M.70%'!I12+'F.F.M.ESTIIMACIONES 2014'!I12</f>
        <v>655050.54275724688</v>
      </c>
      <c r="J10" s="665">
        <f>'F.F.M30%'!J12+'F.F.M.70%'!J12+'F.F.M.ESTIIMACIONES 2014'!J12</f>
        <v>662035.49803478178</v>
      </c>
      <c r="K10" s="665">
        <f>'F.F.M30%'!K12+'F.F.M.70%'!K12+'F.F.M.ESTIIMACIONES 2014'!K12</f>
        <v>617528.24927332602</v>
      </c>
      <c r="L10" s="665">
        <f>'F.F.M30%'!L12+'F.F.M.70%'!L12+'F.F.M.ESTIIMACIONES 2014'!L12</f>
        <v>556363.48019866203</v>
      </c>
      <c r="M10" s="665">
        <f>'F.F.M30%'!M12+'F.F.M.70%'!M12+'F.F.M.ESTIIMACIONES 2014'!M12</f>
        <v>610244.38996441406</v>
      </c>
      <c r="N10" s="665">
        <f>'F.F.M30%'!N12+'F.F.M.70%'!N12+'F.F.M.ESTIIMACIONES 2014'!N12</f>
        <v>600967.0656542303</v>
      </c>
      <c r="O10" s="666">
        <f t="shared" si="0"/>
        <v>7865069.5763557004</v>
      </c>
    </row>
    <row r="11" spans="1:15" x14ac:dyDescent="0.2">
      <c r="A11" s="663" t="s">
        <v>153</v>
      </c>
      <c r="B11" s="683"/>
      <c r="C11" s="665">
        <f>'F.F.M30%'!C13+'F.F.M.70%'!C13+'F.F.M.ESTIIMACIONES 2014'!C13</f>
        <v>552319.11451411864</v>
      </c>
      <c r="D11" s="665">
        <f>'F.F.M30%'!D13+'F.F.M.70%'!D13+'F.F.M.ESTIIMACIONES 2014'!D13</f>
        <v>671372.38447230472</v>
      </c>
      <c r="E11" s="665">
        <f>'F.F.M30%'!E13+'F.F.M.70%'!E13+'F.F.M.ESTIIMACIONES 2014'!E13</f>
        <v>556452.10202627326</v>
      </c>
      <c r="F11" s="665">
        <f>'F.F.M30%'!F13+'F.F.M.70%'!F13+'F.F.M.ESTIIMACIONES 2014'!F13</f>
        <v>649174.87094917858</v>
      </c>
      <c r="G11" s="665">
        <f>'F.F.M30%'!G13+'F.F.M.70%'!G13+'F.F.M.ESTIIMACIONES 2014'!G13</f>
        <v>543747.62512797886</v>
      </c>
      <c r="H11" s="665">
        <f>'F.F.M30%'!H13+'F.F.M.70%'!H13+'F.F.M.ESTIIMACIONES 2014'!H13</f>
        <v>576839.9576520276</v>
      </c>
      <c r="I11" s="665">
        <f>'F.F.M30%'!I13+'F.F.M.70%'!I13+'F.F.M.ESTIIMACIONES 2014'!I13</f>
        <v>611585.75708476396</v>
      </c>
      <c r="J11" s="665">
        <f>'F.F.M30%'!J13+'F.F.M.70%'!J13+'F.F.M.ESTIIMACIONES 2014'!J13</f>
        <v>552247.66138972749</v>
      </c>
      <c r="K11" s="665">
        <f>'F.F.M30%'!K13+'F.F.M.70%'!K13+'F.F.M.ESTIIMACIONES 2014'!K13</f>
        <v>583757.83172740415</v>
      </c>
      <c r="L11" s="665">
        <f>'F.F.M30%'!L13+'F.F.M.70%'!L13+'F.F.M.ESTIIMACIONES 2014'!L13</f>
        <v>566488.38875967741</v>
      </c>
      <c r="M11" s="665">
        <f>'F.F.M30%'!M13+'F.F.M.70%'!M13+'F.F.M.ESTIIMACIONES 2014'!M13</f>
        <v>538330.99352000467</v>
      </c>
      <c r="N11" s="665">
        <f>'F.F.M30%'!N13+'F.F.M.70%'!N13+'F.F.M.ESTIIMACIONES 2014'!N13</f>
        <v>581590.11516621651</v>
      </c>
      <c r="O11" s="666">
        <f t="shared" si="0"/>
        <v>6983906.8023896758</v>
      </c>
    </row>
    <row r="12" spans="1:15" x14ac:dyDescent="0.2">
      <c r="A12" s="663" t="s">
        <v>154</v>
      </c>
      <c r="B12" s="683"/>
      <c r="C12" s="665">
        <f>'F.F.M30%'!C14+'F.F.M.70%'!C14+'F.F.M.ESTIIMACIONES 2014'!C14</f>
        <v>1153938.3834401693</v>
      </c>
      <c r="D12" s="665">
        <f>'F.F.M30%'!D14+'F.F.M.70%'!D14+'F.F.M.ESTIIMACIONES 2014'!D14</f>
        <v>1444882.7303041718</v>
      </c>
      <c r="E12" s="665">
        <f>'F.F.M30%'!E14+'F.F.M.70%'!E14+'F.F.M.ESTIIMACIONES 2014'!E14</f>
        <v>1184752.238613222</v>
      </c>
      <c r="F12" s="665">
        <f>'F.F.M30%'!F14+'F.F.M.70%'!F14+'F.F.M.ESTIIMACIONES 2014'!F14</f>
        <v>1425285.5005557816</v>
      </c>
      <c r="G12" s="665">
        <f>'F.F.M30%'!G14+'F.F.M.70%'!G14+'F.F.M.ESTIIMACIONES 2014'!G14</f>
        <v>1187621.6639590526</v>
      </c>
      <c r="H12" s="665">
        <f>'F.F.M30%'!H14+'F.F.M.70%'!H14+'F.F.M.ESTIIMACIONES 2014'!H14</f>
        <v>1253383.1993650352</v>
      </c>
      <c r="I12" s="665">
        <f>'F.F.M30%'!I14+'F.F.M.70%'!I14+'F.F.M.ESTIIMACIONES 2014'!I14</f>
        <v>1288983.1160420084</v>
      </c>
      <c r="J12" s="665">
        <f>'F.F.M30%'!J14+'F.F.M.70%'!J14+'F.F.M.ESTIIMACIONES 2014'!J14</f>
        <v>1196788.121345382</v>
      </c>
      <c r="K12" s="665">
        <f>'F.F.M30%'!K14+'F.F.M.70%'!K14+'F.F.M.ESTIIMACIONES 2014'!K14</f>
        <v>1226737.3626066174</v>
      </c>
      <c r="L12" s="665">
        <f>'F.F.M30%'!L14+'F.F.M.70%'!L14+'F.F.M.ESTIIMACIONES 2014'!L14</f>
        <v>1170460.0306650174</v>
      </c>
      <c r="M12" s="665">
        <f>'F.F.M30%'!M14+'F.F.M.70%'!M14+'F.F.M.ESTIIMACIONES 2014'!M14</f>
        <v>1150271.3900972574</v>
      </c>
      <c r="N12" s="665">
        <f>'F.F.M30%'!N14+'F.F.M.70%'!N14+'F.F.M.ESTIIMACIONES 2014'!N14</f>
        <v>1215534.1607307834</v>
      </c>
      <c r="O12" s="666">
        <f t="shared" si="0"/>
        <v>14898637.897724496</v>
      </c>
    </row>
    <row r="13" spans="1:15" x14ac:dyDescent="0.2">
      <c r="A13" s="663" t="s">
        <v>155</v>
      </c>
      <c r="B13" s="683"/>
      <c r="C13" s="665">
        <f>'F.F.M30%'!C15+'F.F.M.70%'!C15+'F.F.M.ESTIIMACIONES 2014'!C15</f>
        <v>1014292.3612803298</v>
      </c>
      <c r="D13" s="665">
        <f>'F.F.M30%'!D15+'F.F.M.70%'!D15+'F.F.M.ESTIIMACIONES 2014'!D15</f>
        <v>1232612.4705358068</v>
      </c>
      <c r="E13" s="665">
        <f>'F.F.M30%'!E15+'F.F.M.70%'!E15+'F.F.M.ESTIIMACIONES 2014'!E15</f>
        <v>1021718.2236752871</v>
      </c>
      <c r="F13" s="665">
        <f>'F.F.M30%'!F15+'F.F.M.70%'!F15+'F.F.M.ESTIIMACIONES 2014'!F15</f>
        <v>1191650.3279376945</v>
      </c>
      <c r="G13" s="665">
        <f>'F.F.M30%'!G15+'F.F.M.70%'!G15+'F.F.M.ESTIIMACIONES 2014'!G15</f>
        <v>998169.84831253986</v>
      </c>
      <c r="H13" s="665">
        <f>'F.F.M30%'!H15+'F.F.M.70%'!H15+'F.F.M.ESTIIMACIONES 2014'!H15</f>
        <v>1058966.3982523025</v>
      </c>
      <c r="I13" s="665">
        <f>'F.F.M30%'!I15+'F.F.M.70%'!I15+'F.F.M.ESTIIMACIONES 2014'!I15</f>
        <v>1123048.0729791548</v>
      </c>
      <c r="J13" s="665">
        <f>'F.F.M30%'!J15+'F.F.M.70%'!J15+'F.F.M.ESTIIMACIONES 2014'!J15</f>
        <v>1013843.0804918661</v>
      </c>
      <c r="K13" s="665">
        <f>'F.F.M30%'!K15+'F.F.M.70%'!K15+'F.F.M.ESTIIMACIONES 2014'!K15</f>
        <v>1071974.5604619472</v>
      </c>
      <c r="L13" s="665">
        <f>'F.F.M30%'!L15+'F.F.M.70%'!L15+'F.F.M.ESTIIMACIONES 2014'!L15</f>
        <v>1040409.9284654856</v>
      </c>
      <c r="M13" s="665">
        <f>'F.F.M30%'!M15+'F.F.M.70%'!M15+'F.F.M.ESTIIMACIONES 2014'!M15</f>
        <v>988415.18244306464</v>
      </c>
      <c r="N13" s="665">
        <f>'F.F.M30%'!N15+'F.F.M.70%'!N15+'F.F.M.ESTIIMACIONES 2014'!N15</f>
        <v>1068043.0820694182</v>
      </c>
      <c r="O13" s="666">
        <f t="shared" si="0"/>
        <v>12823143.536904899</v>
      </c>
    </row>
    <row r="14" spans="1:15" x14ac:dyDescent="0.2">
      <c r="A14" s="663" t="s">
        <v>156</v>
      </c>
      <c r="B14" s="683"/>
      <c r="C14" s="665">
        <f>'F.F.M30%'!C16+'F.F.M.70%'!C16+'F.F.M.ESTIIMACIONES 2014'!C16</f>
        <v>577385.8665411839</v>
      </c>
      <c r="D14" s="665">
        <f>'F.F.M30%'!D16+'F.F.M.70%'!D16+'F.F.M.ESTIIMACIONES 2014'!D16</f>
        <v>701194.00197382388</v>
      </c>
      <c r="E14" s="665">
        <f>'F.F.M30%'!E16+'F.F.M.70%'!E16+'F.F.M.ESTIIMACIONES 2014'!E16</f>
        <v>581365.78465585446</v>
      </c>
      <c r="F14" s="665">
        <f>'F.F.M30%'!F16+'F.F.M.70%'!F16+'F.F.M.ESTIIMACIONES 2014'!F16</f>
        <v>677577.76774091041</v>
      </c>
      <c r="G14" s="665">
        <f>'F.F.M30%'!G16+'F.F.M.70%'!G16+'F.F.M.ESTIIMACIONES 2014'!G16</f>
        <v>567632.98083895131</v>
      </c>
      <c r="H14" s="665">
        <f>'F.F.M30%'!H16+'F.F.M.70%'!H16+'F.F.M.ESTIIMACIONES 2014'!H16</f>
        <v>602279.06001792417</v>
      </c>
      <c r="I14" s="665">
        <f>'F.F.M30%'!I16+'F.F.M.70%'!I16+'F.F.M.ESTIIMACIONES 2014'!I16</f>
        <v>639169.95277894253</v>
      </c>
      <c r="J14" s="665">
        <f>'F.F.M30%'!J16+'F.F.M.70%'!J16+'F.F.M.ESTIIMACIONES 2014'!J16</f>
        <v>576650.75558824732</v>
      </c>
      <c r="K14" s="665">
        <f>'F.F.M30%'!K16+'F.F.M.70%'!K16+'F.F.M.ESTIIMACIONES 2014'!K16</f>
        <v>610142.13266741554</v>
      </c>
      <c r="L14" s="665">
        <f>'F.F.M30%'!L16+'F.F.M.70%'!L16+'F.F.M.ESTIIMACIONES 2014'!L16</f>
        <v>592399.12585620093</v>
      </c>
      <c r="M14" s="665">
        <f>'F.F.M30%'!M16+'F.F.M.70%'!M16+'F.F.M.ESTIIMACIONES 2014'!M16</f>
        <v>562370.3624606044</v>
      </c>
      <c r="N14" s="665">
        <f>'F.F.M30%'!N16+'F.F.M.70%'!N16+'F.F.M.ESTIIMACIONES 2014'!N16</f>
        <v>607978.54441812262</v>
      </c>
      <c r="O14" s="666">
        <f t="shared" si="0"/>
        <v>7296146.3355381824</v>
      </c>
    </row>
    <row r="15" spans="1:15" x14ac:dyDescent="0.2">
      <c r="A15" s="663" t="s">
        <v>157</v>
      </c>
      <c r="B15" s="683"/>
      <c r="C15" s="665">
        <f>'F.F.M30%'!C17+'F.F.M.70%'!C17+'F.F.M.ESTIIMACIONES 2014'!C17</f>
        <v>1203072.2551097884</v>
      </c>
      <c r="D15" s="665">
        <f>'F.F.M30%'!D17+'F.F.M.70%'!D17+'F.F.M.ESTIIMACIONES 2014'!D17</f>
        <v>2031097.3138056064</v>
      </c>
      <c r="E15" s="665">
        <f>'F.F.M30%'!E17+'F.F.M.70%'!E17+'F.F.M.ESTIIMACIONES 2014'!E17</f>
        <v>1510887.3394063734</v>
      </c>
      <c r="F15" s="665">
        <f>'F.F.M30%'!F17+'F.F.M.70%'!F17+'F.F.M.ESTIIMACIONES 2014'!F17</f>
        <v>2343536.1005330305</v>
      </c>
      <c r="G15" s="665">
        <f>'F.F.M30%'!G17+'F.F.M.70%'!G17+'F.F.M.ESTIIMACIONES 2014'!G17</f>
        <v>1879481.0026300251</v>
      </c>
      <c r="H15" s="665">
        <f>'F.F.M30%'!H17+'F.F.M.70%'!H17+'F.F.M.ESTIIMACIONES 2014'!H17</f>
        <v>1906066.2982284047</v>
      </c>
      <c r="I15" s="665">
        <f>'F.F.M30%'!I17+'F.F.M.70%'!I17+'F.F.M.ESTIIMACIONES 2014'!I17</f>
        <v>1483350.077275787</v>
      </c>
      <c r="J15" s="665">
        <f>'F.F.M30%'!J17+'F.F.M.70%'!J17+'F.F.M.ESTIIMACIONES 2014'!J17</f>
        <v>1782233.3017356829</v>
      </c>
      <c r="K15" s="665">
        <f>'F.F.M30%'!K17+'F.F.M.70%'!K17+'F.F.M.ESTIIMACIONES 2014'!K17</f>
        <v>1367415.8257714927</v>
      </c>
      <c r="L15" s="665">
        <f>'F.F.M30%'!L17+'F.F.M.70%'!L17+'F.F.M.ESTIIMACIONES 2014'!L17</f>
        <v>1057689.6925319394</v>
      </c>
      <c r="M15" s="665">
        <f>'F.F.M30%'!M17+'F.F.M.70%'!M17+'F.F.M.ESTIIMACIONES 2014'!M17</f>
        <v>1516938.2987276614</v>
      </c>
      <c r="N15" s="665">
        <f>'F.F.M30%'!N17+'F.F.M.70%'!N17+'F.F.M.ESTIIMACIONES 2014'!N17</f>
        <v>1272772.9370300213</v>
      </c>
      <c r="O15" s="666">
        <f t="shared" si="0"/>
        <v>19354540.442785811</v>
      </c>
    </row>
    <row r="16" spans="1:15" x14ac:dyDescent="0.2">
      <c r="A16" s="663" t="s">
        <v>158</v>
      </c>
      <c r="B16" s="683"/>
      <c r="C16" s="665">
        <f>'F.F.M30%'!C18+'F.F.M.70%'!C18+'F.F.M.ESTIIMACIONES 2014'!C18</f>
        <v>1200999.2977242493</v>
      </c>
      <c r="D16" s="665">
        <f>'F.F.M30%'!D18+'F.F.M.70%'!D18+'F.F.M.ESTIIMACIONES 2014'!D18</f>
        <v>1456336.844879722</v>
      </c>
      <c r="E16" s="665">
        <f>'F.F.M30%'!E18+'F.F.M.70%'!E18+'F.F.M.ESTIIMACIONES 2014'!E18</f>
        <v>1208126.4354440991</v>
      </c>
      <c r="F16" s="665">
        <f>'F.F.M30%'!F18+'F.F.M.70%'!F18+'F.F.M.ESTIIMACIONES 2014'!F18</f>
        <v>1405823.4290843727</v>
      </c>
      <c r="G16" s="665">
        <f>'F.F.M30%'!G18+'F.F.M.70%'!G18+'F.F.M.ESTIIMACIONES 2014'!G18</f>
        <v>1178034.4879235805</v>
      </c>
      <c r="H16" s="665">
        <f>'F.F.M30%'!H18+'F.F.M.70%'!H18+'F.F.M.ESTIIMACIONES 2014'!H18</f>
        <v>1250275.8378018269</v>
      </c>
      <c r="I16" s="665">
        <f>'F.F.M30%'!I18+'F.F.M.70%'!I18+'F.F.M.ESTIIMACIONES 2014'!I18</f>
        <v>1328931.6090061336</v>
      </c>
      <c r="J16" s="665">
        <f>'F.F.M30%'!J18+'F.F.M.70%'!J18+'F.F.M.ESTIIMACIONES 2014'!J18</f>
        <v>1197238.0738262343</v>
      </c>
      <c r="K16" s="665">
        <f>'F.F.M30%'!K18+'F.F.M.70%'!K18+'F.F.M.ESTIIMACIONES 2014'!K18</f>
        <v>1268765.0458843308</v>
      </c>
      <c r="L16" s="665">
        <f>'F.F.M30%'!L18+'F.F.M.70%'!L18+'F.F.M.ESTIIMACIONES 2014'!L18</f>
        <v>1232906.9203751967</v>
      </c>
      <c r="M16" s="665">
        <f>'F.F.M30%'!M18+'F.F.M.70%'!M18+'F.F.M.ESTIIMACIONES 2014'!M18</f>
        <v>1168439.3479529484</v>
      </c>
      <c r="N16" s="665">
        <f>'F.F.M30%'!N18+'F.F.M.70%'!N18+'F.F.M.ESTIIMACIONES 2014'!N18</f>
        <v>1264611.1170049245</v>
      </c>
      <c r="O16" s="666">
        <f t="shared" si="0"/>
        <v>15160488.446907617</v>
      </c>
    </row>
    <row r="17" spans="1:15" x14ac:dyDescent="0.2">
      <c r="A17" s="663" t="s">
        <v>159</v>
      </c>
      <c r="B17" s="683"/>
      <c r="C17" s="665">
        <f>'F.F.M30%'!C19+'F.F.M.70%'!C19+'F.F.M.ESTIIMACIONES 2014'!C19</f>
        <v>1697374.9271238176</v>
      </c>
      <c r="D17" s="665">
        <f>'F.F.M30%'!D19+'F.F.M.70%'!D19+'F.F.M.ESTIIMACIONES 2014'!D19</f>
        <v>2077054.9891812538</v>
      </c>
      <c r="E17" s="665">
        <f>'F.F.M30%'!E19+'F.F.M.70%'!E19+'F.F.M.ESTIIMACIONES 2014'!E19</f>
        <v>1717331.5641453671</v>
      </c>
      <c r="F17" s="665">
        <f>'F.F.M30%'!F19+'F.F.M.70%'!F19+'F.F.M.ESTIIMACIONES 2014'!F19</f>
        <v>2017598.1330160364</v>
      </c>
      <c r="G17" s="665">
        <f>'F.F.M30%'!G19+'F.F.M.70%'!G19+'F.F.M.ESTIIMACIONES 2014'!G19</f>
        <v>1687909.8868760064</v>
      </c>
      <c r="H17" s="665">
        <f>'F.F.M30%'!H19+'F.F.M.70%'!H19+'F.F.M.ESTIIMACIONES 2014'!H19</f>
        <v>1788503.835336721</v>
      </c>
      <c r="I17" s="665">
        <f>'F.F.M30%'!I19+'F.F.M.70%'!I19+'F.F.M.ESTIIMACIONES 2014'!I19</f>
        <v>1883182.5988564109</v>
      </c>
      <c r="J17" s="665">
        <f>'F.F.M30%'!J19+'F.F.M.70%'!J19+'F.F.M.ESTIIMACIONES 2014'!J19</f>
        <v>1711221.2696251113</v>
      </c>
      <c r="K17" s="665">
        <f>'F.F.M30%'!K19+'F.F.M.70%'!K19+'F.F.M.ESTIIMACIONES 2014'!K19</f>
        <v>1796319.2770636333</v>
      </c>
      <c r="L17" s="665">
        <f>'F.F.M30%'!L19+'F.F.M.70%'!L19+'F.F.M.ESTIIMACIONES 2014'!L19</f>
        <v>1736640.3299946752</v>
      </c>
      <c r="M17" s="665">
        <f>'F.F.M30%'!M19+'F.F.M.70%'!M19+'F.F.M.ESTIIMACIONES 2014'!M19</f>
        <v>1662747.4739228708</v>
      </c>
      <c r="N17" s="665">
        <f>'F.F.M30%'!N19+'F.F.M.70%'!N19+'F.F.M.ESTIIMACIONES 2014'!N19</f>
        <v>1787474.1945079826</v>
      </c>
      <c r="O17" s="666">
        <f t="shared" si="0"/>
        <v>21563358.479649883</v>
      </c>
    </row>
    <row r="18" spans="1:15" x14ac:dyDescent="0.2">
      <c r="A18" s="663" t="s">
        <v>287</v>
      </c>
      <c r="B18" s="683"/>
      <c r="C18" s="665">
        <f>'F.F.M30%'!C20+'F.F.M.70%'!C20+'F.F.M.ESTIIMACIONES 2014'!C20</f>
        <v>762541.57028258068</v>
      </c>
      <c r="D18" s="665">
        <f>'F.F.M30%'!D20+'F.F.M.70%'!D20+'F.F.M.ESTIIMACIONES 2014'!D20</f>
        <v>906529.44627267367</v>
      </c>
      <c r="E18" s="665">
        <f>'F.F.M30%'!E20+'F.F.M.70%'!E20+'F.F.M.ESTIIMACIONES 2014'!E20</f>
        <v>757539.81259755313</v>
      </c>
      <c r="F18" s="665">
        <f>'F.F.M30%'!F20+'F.F.M.70%'!F20+'F.F.M.ESTIIMACIONES 2014'!F20</f>
        <v>862954.39815672394</v>
      </c>
      <c r="G18" s="665">
        <f>'F.F.M30%'!G20+'F.F.M.70%'!G20+'F.F.M.ESTIIMACIONES 2014'!G20</f>
        <v>725799.71593408275</v>
      </c>
      <c r="H18" s="665">
        <f>'F.F.M30%'!H20+'F.F.M.70%'!H20+'F.F.M.ESTIIMACIONES 2014'!H20</f>
        <v>773117.94758447458</v>
      </c>
      <c r="I18" s="665">
        <f>'F.F.M30%'!I20+'F.F.M.70%'!I20+'F.F.M.ESTIIMACIONES 2014'!I20</f>
        <v>838948.59672389075</v>
      </c>
      <c r="J18" s="665">
        <f>'F.F.M30%'!J20+'F.F.M.70%'!J20+'F.F.M.ESTIIMACIONES 2014'!J20</f>
        <v>741683.32728002337</v>
      </c>
      <c r="K18" s="665">
        <f>'F.F.M30%'!K20+'F.F.M.70%'!K20+'F.F.M.ESTIIMACIONES 2014'!K20</f>
        <v>802511.20175639051</v>
      </c>
      <c r="L18" s="665">
        <f>'F.F.M30%'!L20+'F.F.M.70%'!L20+'F.F.M.ESTIIMACIONES 2014'!L20</f>
        <v>788419.6428413894</v>
      </c>
      <c r="M18" s="665">
        <f>'F.F.M30%'!M20+'F.F.M.70%'!M20+'F.F.M.ESTIIMACIONES 2014'!M20</f>
        <v>730890.19957631279</v>
      </c>
      <c r="N18" s="665">
        <f>'F.F.M30%'!N20+'F.F.M.70%'!N20+'F.F.M.ESTIIMACIONES 2014'!N20</f>
        <v>802740.70322905399</v>
      </c>
      <c r="O18" s="666">
        <f t="shared" si="0"/>
        <v>9493676.5622351505</v>
      </c>
    </row>
    <row r="19" spans="1:15" x14ac:dyDescent="0.2">
      <c r="A19" s="663" t="s">
        <v>288</v>
      </c>
      <c r="B19" s="683"/>
      <c r="C19" s="665">
        <f>'F.F.M30%'!C21+'F.F.M.70%'!C21+'F.F.M.ESTIIMACIONES 2014'!C21</f>
        <v>1016667.6320767569</v>
      </c>
      <c r="D19" s="665">
        <f>'F.F.M30%'!D21+'F.F.M.70%'!D21+'F.F.M.ESTIIMACIONES 2014'!D21</f>
        <v>1243094.8990263524</v>
      </c>
      <c r="E19" s="665">
        <f>'F.F.M30%'!E21+'F.F.M.70%'!E21+'F.F.M.ESTIIMACIONES 2014'!E21</f>
        <v>1028101.9958870009</v>
      </c>
      <c r="F19" s="665">
        <f>'F.F.M30%'!F21+'F.F.M.70%'!F21+'F.F.M.ESTIIMACIONES 2014'!F21</f>
        <v>1206855.7473010737</v>
      </c>
      <c r="G19" s="665">
        <f>'F.F.M30%'!G21+'F.F.M.70%'!G21+'F.F.M.ESTIIMACIONES 2014'!G21</f>
        <v>1009791.2415861995</v>
      </c>
      <c r="H19" s="665">
        <f>'F.F.M30%'!H21+'F.F.M.70%'!H21+'F.F.M.ESTIIMACIONES 2014'!H21</f>
        <v>1070122.4800134676</v>
      </c>
      <c r="I19" s="665">
        <f>'F.F.M30%'!I21+'F.F.M.70%'!I21+'F.F.M.ESTIIMACIONES 2014'!I21</f>
        <v>1127697.3023882126</v>
      </c>
      <c r="J19" s="665">
        <f>'F.F.M30%'!J21+'F.F.M.70%'!J21+'F.F.M.ESTIIMACIONES 2014'!J21</f>
        <v>1023954.9850728215</v>
      </c>
      <c r="K19" s="665">
        <f>'F.F.M30%'!K21+'F.F.M.70%'!K21+'F.F.M.ESTIIMACIONES 2014'!K21</f>
        <v>1075765.3146194504</v>
      </c>
      <c r="L19" s="665">
        <f>'F.F.M30%'!L21+'F.F.M.70%'!L21+'F.F.M.ESTIIMACIONES 2014'!L21</f>
        <v>1040492.3140540477</v>
      </c>
      <c r="M19" s="665">
        <f>'F.F.M30%'!M21+'F.F.M.70%'!M21+'F.F.M.ESTIIMACIONES 2014'!M21</f>
        <v>995328.99299560022</v>
      </c>
      <c r="N19" s="665">
        <f>'F.F.M30%'!N21+'F.F.M.70%'!N21+'F.F.M.ESTIIMACIONES 2014'!N21</f>
        <v>1070623.5913548437</v>
      </c>
      <c r="O19" s="666">
        <f t="shared" si="0"/>
        <v>12908496.496375825</v>
      </c>
    </row>
    <row r="20" spans="1:15" x14ac:dyDescent="0.2">
      <c r="A20" s="663" t="s">
        <v>289</v>
      </c>
      <c r="B20" s="683"/>
      <c r="C20" s="665">
        <f>'F.F.M30%'!C22+'F.F.M.70%'!C22+'F.F.M.ESTIIMACIONES 2014'!C22</f>
        <v>3464570.1253980976</v>
      </c>
      <c r="D20" s="665">
        <f>'F.F.M30%'!D22+'F.F.M.70%'!D22+'F.F.M.ESTIIMACIONES 2014'!D22</f>
        <v>5662720.3983548535</v>
      </c>
      <c r="E20" s="665">
        <f>'F.F.M30%'!E22+'F.F.M.70%'!E22+'F.F.M.ESTIIMACIONES 2014'!E22</f>
        <v>4253081.7488796767</v>
      </c>
      <c r="F20" s="665">
        <f>'F.F.M30%'!F22+'F.F.M.70%'!F22+'F.F.M.ESTIIMACIONES 2014'!F22</f>
        <v>6444236.456232667</v>
      </c>
      <c r="G20" s="665">
        <f>'F.F.M30%'!G22+'F.F.M.70%'!G22+'F.F.M.ESTIIMACIONES 2014'!G22</f>
        <v>5184684.6219578218</v>
      </c>
      <c r="H20" s="665">
        <f>'F.F.M30%'!H22+'F.F.M.70%'!H22+'F.F.M.ESTIIMACIONES 2014'!H22</f>
        <v>5276154.1034155171</v>
      </c>
      <c r="I20" s="665">
        <f>'F.F.M30%'!I22+'F.F.M.70%'!I22+'F.F.M.ESTIIMACIONES 2014'!I22</f>
        <v>4222161.192851509</v>
      </c>
      <c r="J20" s="665">
        <f>'F.F.M30%'!J22+'F.F.M.70%'!J22+'F.F.M.ESTIIMACIONES 2014'!J22</f>
        <v>4942570.6161043067</v>
      </c>
      <c r="K20" s="665">
        <f>'F.F.M30%'!K22+'F.F.M.70%'!K22+'F.F.M.ESTIIMACIONES 2014'!K22</f>
        <v>3906426.0554532502</v>
      </c>
      <c r="L20" s="665">
        <f>'F.F.M30%'!L22+'F.F.M.70%'!L22+'F.F.M.ESTIIMACIONES 2014'!L22</f>
        <v>3103660.1257498036</v>
      </c>
      <c r="M20" s="665">
        <f>'F.F.M30%'!M22+'F.F.M.70%'!M22+'F.F.M.ESTIIMACIONES 2014'!M22</f>
        <v>4255588.7374235531</v>
      </c>
      <c r="N20" s="665">
        <f>'F.F.M30%'!N22+'F.F.M.70%'!N22+'F.F.M.ESTIIMACIONES 2014'!N22</f>
        <v>3663344.709484979</v>
      </c>
      <c r="O20" s="666">
        <f t="shared" si="0"/>
        <v>54379198.891306035</v>
      </c>
    </row>
    <row r="21" spans="1:15" x14ac:dyDescent="0.2">
      <c r="A21" s="663" t="s">
        <v>163</v>
      </c>
      <c r="B21" s="683"/>
      <c r="C21" s="665">
        <f>'F.F.M30%'!C23+'F.F.M.70%'!C23+'F.F.M.ESTIIMACIONES 2014'!C23</f>
        <v>1272226.7940573851</v>
      </c>
      <c r="D21" s="665">
        <f>'F.F.M30%'!D23+'F.F.M.70%'!D23+'F.F.M.ESTIIMACIONES 2014'!D23</f>
        <v>1574441.7331570215</v>
      </c>
      <c r="E21" s="665">
        <f>'F.F.M30%'!E23+'F.F.M.70%'!E23+'F.F.M.ESTIIMACIONES 2014'!E23</f>
        <v>1296450.6814099716</v>
      </c>
      <c r="F21" s="665">
        <f>'F.F.M30%'!F23+'F.F.M.70%'!F23+'F.F.M.ESTIIMACIONES 2014'!F23</f>
        <v>1541064.9876951128</v>
      </c>
      <c r="G21" s="665">
        <f>'F.F.M30%'!G23+'F.F.M.70%'!G23+'F.F.M.ESTIIMACIONES 2014'!G23</f>
        <v>1286686.1899540047</v>
      </c>
      <c r="H21" s="665">
        <f>'F.F.M30%'!H23+'F.F.M.70%'!H23+'F.F.M.ESTIIMACIONES 2014'!H23</f>
        <v>1360673.1619496979</v>
      </c>
      <c r="I21" s="665">
        <f>'F.F.M30%'!I23+'F.F.M.70%'!I23+'F.F.M.ESTIIMACIONES 2014'!I23</f>
        <v>1416182.4913011442</v>
      </c>
      <c r="J21" s="665">
        <f>'F.F.M30%'!J23+'F.F.M.70%'!J23+'F.F.M.ESTIIMACIONES 2014'!J23</f>
        <v>1300568.9997503897</v>
      </c>
      <c r="K21" s="665">
        <f>'F.F.M30%'!K23+'F.F.M.70%'!K23+'F.F.M.ESTIIMACIONES 2014'!K23</f>
        <v>1349360.782755299</v>
      </c>
      <c r="L21" s="665">
        <f>'F.F.M30%'!L23+'F.F.M.70%'!L23+'F.F.M.ESTIIMACIONES 2014'!L23</f>
        <v>1296192.0210753151</v>
      </c>
      <c r="M21" s="665">
        <f>'F.F.M30%'!M23+'F.F.M.70%'!M23+'F.F.M.ESTIIMACIONES 2014'!M23</f>
        <v>1256950.0937723529</v>
      </c>
      <c r="N21" s="665">
        <f>'F.F.M30%'!N23+'F.F.M.70%'!N23+'F.F.M.ESTIIMACIONES 2014'!N23</f>
        <v>1339942.8015687356</v>
      </c>
      <c r="O21" s="666">
        <f t="shared" si="0"/>
        <v>16290740.738446429</v>
      </c>
    </row>
    <row r="22" spans="1:15" x14ac:dyDescent="0.2">
      <c r="A22" s="663" t="s">
        <v>164</v>
      </c>
      <c r="B22" s="683"/>
      <c r="C22" s="665">
        <f>'F.F.M30%'!C24+'F.F.M.70%'!C24+'F.F.M.ESTIIMACIONES 2014'!C24</f>
        <v>14446107.595021239</v>
      </c>
      <c r="D22" s="665">
        <f>'F.F.M30%'!D24+'F.F.M.70%'!D24+'F.F.M.ESTIIMACIONES 2014'!D24</f>
        <v>18734739.471983463</v>
      </c>
      <c r="E22" s="665">
        <f>'F.F.M30%'!E24+'F.F.M.70%'!E24+'F.F.M.ESTIIMACIONES 2014'!E24</f>
        <v>15171456.434993215</v>
      </c>
      <c r="F22" s="665">
        <f>'F.F.M30%'!F24+'F.F.M.70%'!F24+'F.F.M.ESTIIMACIONES 2014'!F24</f>
        <v>18899429.343907584</v>
      </c>
      <c r="G22" s="665">
        <f>'F.F.M30%'!G24+'F.F.M.70%'!G24+'F.F.M.ESTIIMACIONES 2014'!G24</f>
        <v>15657723.942260975</v>
      </c>
      <c r="H22" s="665">
        <f>'F.F.M30%'!H24+'F.F.M.70%'!H24+'F.F.M.ESTIIMACIONES 2014'!H24</f>
        <v>16429283.876465775</v>
      </c>
      <c r="I22" s="665">
        <f>'F.F.M30%'!I24+'F.F.M.70%'!I24+'F.F.M.ESTIIMACIONES 2014'!I24</f>
        <v>16308540.965284977</v>
      </c>
      <c r="J22" s="665">
        <f>'F.F.M30%'!J24+'F.F.M.70%'!J24+'F.F.M.ESTIIMACIONES 2014'!J24</f>
        <v>15640917.688017581</v>
      </c>
      <c r="K22" s="665">
        <f>'F.F.M30%'!K24+'F.F.M.70%'!K24+'F.F.M.ESTIIMACIONES 2014'!K24</f>
        <v>15466420.625282874</v>
      </c>
      <c r="L22" s="665">
        <f>'F.F.M30%'!L24+'F.F.M.70%'!L24+'F.F.M.ESTIIMACIONES 2014'!L24</f>
        <v>14452642.751705701</v>
      </c>
      <c r="M22" s="665">
        <f>'F.F.M30%'!M24+'F.F.M.70%'!M24+'F.F.M.ESTIIMACIONES 2014'!M24</f>
        <v>14791527.287778132</v>
      </c>
      <c r="N22" s="665">
        <f>'F.F.M30%'!N24+'F.F.M.70%'!N24+'F.F.M.ESTIIMACIONES 2014'!N24</f>
        <v>15223975.545267636</v>
      </c>
      <c r="O22" s="666">
        <f t="shared" si="0"/>
        <v>191222765.52796918</v>
      </c>
    </row>
    <row r="23" spans="1:15" x14ac:dyDescent="0.2">
      <c r="A23" s="663" t="s">
        <v>165</v>
      </c>
      <c r="B23" s="683"/>
      <c r="C23" s="665">
        <f>'F.F.M30%'!C25+'F.F.M.70%'!C25+'F.F.M.ESTIIMACIONES 2014'!C25</f>
        <v>1531065.4289542174</v>
      </c>
      <c r="D23" s="665">
        <f>'F.F.M30%'!D25+'F.F.M.70%'!D25+'F.F.M.ESTIIMACIONES 2014'!D25</f>
        <v>2381985.6171230106</v>
      </c>
      <c r="E23" s="665">
        <f>'F.F.M30%'!E25+'F.F.M.70%'!E25+'F.F.M.ESTIIMACIONES 2014'!E25</f>
        <v>1816217.0490563987</v>
      </c>
      <c r="F23" s="665">
        <f>'F.F.M30%'!F25+'F.F.M.70%'!F25+'F.F.M.ESTIIMACIONES 2014'!F25</f>
        <v>2650914.9051685035</v>
      </c>
      <c r="G23" s="665">
        <f>'F.F.M30%'!G25+'F.F.M.70%'!G25+'F.F.M.ESTIIMACIONES 2014'!G25</f>
        <v>2143956.4758943217</v>
      </c>
      <c r="H23" s="665">
        <f>'F.F.M30%'!H25+'F.F.M.70%'!H25+'F.F.M.ESTIIMACIONES 2014'!H25</f>
        <v>2194017.9909804906</v>
      </c>
      <c r="I23" s="665">
        <f>'F.F.M30%'!I25+'F.F.M.70%'!I25+'F.F.M.ESTIIMACIONES 2014'!I25</f>
        <v>1833830.3969311437</v>
      </c>
      <c r="J23" s="665">
        <f>'F.F.M30%'!J25+'F.F.M.70%'!J25+'F.F.M.ESTIIMACIONES 2014'!J25</f>
        <v>2061487.3688103561</v>
      </c>
      <c r="K23" s="665">
        <f>'F.F.M30%'!K25+'F.F.M.70%'!K25+'F.F.M.ESTIIMACIONES 2014'!K25</f>
        <v>1706020.6522462438</v>
      </c>
      <c r="L23" s="665">
        <f>'F.F.M30%'!L25+'F.F.M.70%'!L25+'F.F.M.ESTIIMACIONES 2014'!L25</f>
        <v>1408912.3101444652</v>
      </c>
      <c r="M23" s="665">
        <f>'F.F.M30%'!M25+'F.F.M.70%'!M25+'F.F.M.ESTIIMACIONES 2014'!M25</f>
        <v>1807680.2532087993</v>
      </c>
      <c r="N23" s="665">
        <f>'F.F.M30%'!N25+'F.F.M.70%'!N25+'F.F.M.ESTIIMACIONES 2014'!N25</f>
        <v>1617649.1344044351</v>
      </c>
      <c r="O23" s="666">
        <f t="shared" si="0"/>
        <v>23153737.582922384</v>
      </c>
    </row>
    <row r="24" spans="1:15" ht="13.5" thickBot="1" x14ac:dyDescent="0.25">
      <c r="A24" s="663" t="s">
        <v>166</v>
      </c>
      <c r="B24" s="683"/>
      <c r="C24" s="665">
        <f>'F.F.M30%'!C26+'F.F.M.70%'!C26+'F.F.M.ESTIIMACIONES 2014'!C26</f>
        <v>1196191.5980088143</v>
      </c>
      <c r="D24" s="665">
        <f>'F.F.M30%'!D26+'F.F.M.70%'!D26+'F.F.M.ESTIIMACIONES 2014'!D26</f>
        <v>1700611.1790134071</v>
      </c>
      <c r="E24" s="665">
        <f>'F.F.M30%'!E26+'F.F.M.70%'!E26+'F.F.M.ESTIIMACIONES 2014'!E26</f>
        <v>1334702.4455756883</v>
      </c>
      <c r="F24" s="665">
        <f>'F.F.M30%'!F26+'F.F.M.70%'!F26+'F.F.M.ESTIIMACIONES 2014'!F26</f>
        <v>1808968.692177048</v>
      </c>
      <c r="G24" s="665">
        <f>'F.F.M30%'!G26+'F.F.M.70%'!G26+'F.F.M.ESTIIMACIONES 2014'!G26</f>
        <v>1479001.7905920022</v>
      </c>
      <c r="H24" s="665">
        <f>'F.F.M30%'!H26+'F.F.M.70%'!H26+'F.F.M.ESTIIMACIONES 2014'!H26</f>
        <v>1530945.1809729133</v>
      </c>
      <c r="I24" s="665">
        <f>'F.F.M30%'!I26+'F.F.M.70%'!I26+'F.F.M.ESTIIMACIONES 2014'!I26</f>
        <v>1390098.8706004361</v>
      </c>
      <c r="J24" s="665">
        <f>'F.F.M30%'!J26+'F.F.M.70%'!J26+'F.F.M.ESTIIMACIONES 2014'!J26</f>
        <v>1447218.2262845288</v>
      </c>
      <c r="K24" s="665">
        <f>'F.F.M30%'!K26+'F.F.M.70%'!K26+'F.F.M.ESTIIMACIONES 2014'!K26</f>
        <v>1305844.9173124167</v>
      </c>
      <c r="L24" s="665">
        <f>'F.F.M30%'!L26+'F.F.M.70%'!L26+'F.F.M.ESTIIMACIONES 2014'!L26</f>
        <v>1150461.5965036151</v>
      </c>
      <c r="M24" s="665">
        <f>'F.F.M30%'!M26+'F.F.M.70%'!M26+'F.F.M.ESTIIMACIONES 2014'!M26</f>
        <v>1315194.277536788</v>
      </c>
      <c r="N24" s="665">
        <f>'F.F.M30%'!N26+'F.F.M.70%'!N26+'F.F.M.ESTIIMACIONES 2014'!N26</f>
        <v>1262161.9638712779</v>
      </c>
      <c r="O24" s="666">
        <f t="shared" si="0"/>
        <v>16921400.738448936</v>
      </c>
    </row>
    <row r="25" spans="1:15" ht="13.5" thickBot="1" x14ac:dyDescent="0.25">
      <c r="A25" s="668" t="s">
        <v>290</v>
      </c>
      <c r="B25" s="684">
        <f t="shared" ref="B25:N25" si="1">SUM(B5:B24)</f>
        <v>0</v>
      </c>
      <c r="C25" s="670">
        <f t="shared" si="1"/>
        <v>37966991.259842716</v>
      </c>
      <c r="D25" s="670">
        <f t="shared" si="1"/>
        <v>52123002.01591263</v>
      </c>
      <c r="E25" s="670">
        <f t="shared" si="1"/>
        <v>41389051.900697164</v>
      </c>
      <c r="F25" s="670">
        <f t="shared" si="1"/>
        <v>54385926.149769537</v>
      </c>
      <c r="G25" s="670">
        <f t="shared" si="1"/>
        <v>44677095.577730276</v>
      </c>
      <c r="H25" s="670">
        <f t="shared" si="1"/>
        <v>46474113.337577604</v>
      </c>
      <c r="I25" s="670">
        <f t="shared" si="1"/>
        <v>43628667.824033707</v>
      </c>
      <c r="J25" s="670">
        <f t="shared" si="1"/>
        <v>44045725.193616904</v>
      </c>
      <c r="K25" s="670">
        <f t="shared" si="1"/>
        <v>41134820.215283066</v>
      </c>
      <c r="L25" s="670">
        <f t="shared" si="1"/>
        <v>37090165.621511504</v>
      </c>
      <c r="M25" s="670">
        <f t="shared" si="1"/>
        <v>40621440.963669814</v>
      </c>
      <c r="N25" s="670">
        <f t="shared" si="1"/>
        <v>40041509.940355048</v>
      </c>
      <c r="O25" s="670">
        <f t="shared" si="0"/>
        <v>523578510.00000012</v>
      </c>
    </row>
    <row r="26" spans="1:15" x14ac:dyDescent="0.2">
      <c r="A26" s="672" t="s">
        <v>291</v>
      </c>
      <c r="M26" s="667"/>
      <c r="O26" s="667"/>
    </row>
    <row r="28" spans="1:15" x14ac:dyDescent="0.2">
      <c r="M28" s="667"/>
    </row>
    <row r="29" spans="1:15" x14ac:dyDescent="0.2">
      <c r="O29" s="667"/>
    </row>
  </sheetData>
  <mergeCells count="2">
    <mergeCell ref="A1:O1"/>
    <mergeCell ref="A2:O2"/>
  </mergeCells>
  <printOptions horizontalCentered="1"/>
  <pageMargins left="0.78740157480314965" right="0.78740157480314965" top="0.98425196850393704" bottom="0.98425196850393704" header="0" footer="0"/>
  <pageSetup paperSize="5" scale="9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A1:AQ87"/>
  <sheetViews>
    <sheetView zoomScale="90" zoomScaleNormal="90" workbookViewId="0">
      <selection sqref="A1:AG1"/>
    </sheetView>
  </sheetViews>
  <sheetFormatPr baseColWidth="10" defaultRowHeight="15" x14ac:dyDescent="0.25"/>
  <cols>
    <col min="1" max="1" width="20.42578125" customWidth="1"/>
    <col min="2" max="2" width="19.7109375" hidden="1" customWidth="1"/>
    <col min="3" max="3" width="15.85546875" hidden="1" customWidth="1"/>
    <col min="4" max="4" width="12.7109375" hidden="1" customWidth="1"/>
    <col min="5" max="7" width="14.85546875" hidden="1" customWidth="1"/>
    <col min="8" max="8" width="18.85546875" style="10" hidden="1" customWidth="1"/>
    <col min="9" max="9" width="18.5703125" hidden="1" customWidth="1"/>
    <col min="10" max="11" width="19.42578125" hidden="1" customWidth="1"/>
    <col min="12" max="12" width="18.42578125" hidden="1" customWidth="1"/>
    <col min="13" max="13" width="15.42578125" hidden="1" customWidth="1"/>
    <col min="14" max="16" width="14.42578125" hidden="1" customWidth="1"/>
    <col min="17" max="17" width="18.85546875" hidden="1" customWidth="1"/>
    <col min="18" max="18" width="19" hidden="1" customWidth="1"/>
    <col min="19" max="19" width="14.7109375" customWidth="1"/>
    <col min="20" max="20" width="14.7109375" bestFit="1" customWidth="1"/>
    <col min="21" max="21" width="16.28515625" customWidth="1"/>
    <col min="22" max="22" width="18.5703125" customWidth="1"/>
    <col min="23" max="23" width="14.7109375" bestFit="1" customWidth="1"/>
    <col min="24" max="24" width="14.7109375" customWidth="1"/>
    <col min="25" max="25" width="18.5703125" customWidth="1"/>
    <col min="26" max="26" width="19.85546875" customWidth="1"/>
    <col min="27" max="27" width="16.85546875" customWidth="1"/>
    <col min="28" max="28" width="18.7109375" customWidth="1"/>
    <col min="29" max="31" width="21.5703125" customWidth="1"/>
    <col min="32" max="32" width="19.140625" style="12" customWidth="1"/>
    <col min="33" max="33" width="20.7109375" style="12" customWidth="1"/>
  </cols>
  <sheetData>
    <row r="1" spans="1:43" ht="18" x14ac:dyDescent="0.25">
      <c r="A1" s="861" t="s">
        <v>407</v>
      </c>
      <c r="B1" s="861"/>
      <c r="C1" s="861"/>
      <c r="D1" s="861"/>
      <c r="E1" s="861"/>
      <c r="F1" s="861"/>
      <c r="G1" s="861"/>
      <c r="H1" s="861"/>
      <c r="I1" s="861"/>
      <c r="J1" s="861"/>
      <c r="K1" s="861"/>
      <c r="L1" s="861"/>
      <c r="M1" s="861"/>
      <c r="N1" s="861"/>
      <c r="O1" s="861"/>
      <c r="P1" s="861"/>
      <c r="Q1" s="861"/>
      <c r="R1" s="861"/>
      <c r="S1" s="861"/>
      <c r="T1" s="861"/>
      <c r="U1" s="861"/>
      <c r="V1" s="861"/>
      <c r="W1" s="861"/>
      <c r="X1" s="861"/>
      <c r="Y1" s="861"/>
      <c r="Z1" s="861"/>
      <c r="AA1" s="861"/>
      <c r="AB1" s="861"/>
      <c r="AC1" s="861"/>
      <c r="AD1" s="861"/>
      <c r="AE1" s="861"/>
      <c r="AF1" s="861"/>
      <c r="AG1" s="861"/>
    </row>
    <row r="2" spans="1:43" x14ac:dyDescent="0.25">
      <c r="A2" s="840" t="s">
        <v>278</v>
      </c>
      <c r="B2" s="840"/>
      <c r="C2" s="840"/>
      <c r="D2" s="840"/>
      <c r="E2" s="840"/>
      <c r="F2" s="840"/>
      <c r="G2" s="840"/>
      <c r="H2" s="840"/>
      <c r="I2" s="840"/>
      <c r="J2" s="840"/>
      <c r="K2" s="840"/>
      <c r="L2" s="840"/>
      <c r="M2" s="840"/>
      <c r="N2" s="840"/>
      <c r="O2" s="840"/>
      <c r="P2" s="840"/>
      <c r="Q2" s="840"/>
      <c r="R2" s="840"/>
      <c r="S2" s="840"/>
      <c r="T2" s="840"/>
      <c r="U2" s="840"/>
      <c r="V2" s="840"/>
      <c r="W2" s="840"/>
      <c r="X2" s="840"/>
      <c r="Y2" s="840"/>
      <c r="Z2" s="840"/>
      <c r="AA2" s="840"/>
      <c r="AB2" s="840"/>
      <c r="AC2" s="840"/>
      <c r="AD2" s="840"/>
      <c r="AE2" s="840"/>
      <c r="AF2" s="840"/>
      <c r="AG2" s="840"/>
    </row>
    <row r="3" spans="1:43" ht="15.75" thickBot="1" x14ac:dyDescent="0.3">
      <c r="A3" s="840"/>
      <c r="B3" s="840"/>
      <c r="C3" s="840"/>
      <c r="D3" s="840"/>
      <c r="E3" s="840"/>
      <c r="F3" s="840"/>
      <c r="G3" s="840"/>
      <c r="H3" s="840"/>
      <c r="I3" s="840"/>
      <c r="J3" s="840"/>
      <c r="K3" s="840"/>
      <c r="L3" s="840"/>
      <c r="M3" s="840"/>
      <c r="N3" s="840"/>
      <c r="O3" s="840"/>
      <c r="P3" s="840"/>
      <c r="Q3" s="840"/>
      <c r="R3" s="840"/>
      <c r="S3" s="840"/>
      <c r="T3" s="840"/>
      <c r="U3" s="11"/>
      <c r="V3" s="11"/>
    </row>
    <row r="4" spans="1:43" ht="45" customHeight="1" thickBot="1" x14ac:dyDescent="0.3">
      <c r="A4" s="851" t="s">
        <v>236</v>
      </c>
      <c r="B4" s="14"/>
      <c r="C4" s="14"/>
      <c r="D4" s="14"/>
      <c r="E4" s="14"/>
      <c r="F4" s="14"/>
      <c r="G4" s="14"/>
      <c r="H4" s="14"/>
      <c r="I4" s="15"/>
      <c r="J4" s="16"/>
      <c r="K4" s="16"/>
      <c r="L4" s="16"/>
      <c r="M4" s="16"/>
      <c r="N4" s="16"/>
      <c r="O4" s="16"/>
      <c r="P4" s="16"/>
      <c r="Q4" s="16"/>
      <c r="R4" s="16"/>
      <c r="S4" s="854" t="s">
        <v>272</v>
      </c>
      <c r="T4" s="855"/>
      <c r="U4" s="854" t="s">
        <v>184</v>
      </c>
      <c r="V4" s="856"/>
      <c r="W4" s="855"/>
      <c r="X4" s="854" t="s">
        <v>187</v>
      </c>
      <c r="Y4" s="857"/>
      <c r="Z4" s="854" t="s">
        <v>305</v>
      </c>
      <c r="AA4" s="855"/>
      <c r="AB4" s="854" t="s">
        <v>306</v>
      </c>
      <c r="AC4" s="855"/>
      <c r="AD4" s="847" t="s">
        <v>277</v>
      </c>
      <c r="AE4" s="848"/>
      <c r="AF4" s="862" t="s">
        <v>276</v>
      </c>
      <c r="AG4" s="863"/>
      <c r="AH4" s="188"/>
      <c r="AI4" s="108"/>
      <c r="AJ4" s="108"/>
      <c r="AK4" s="108"/>
      <c r="AL4" s="108"/>
      <c r="AM4" s="108"/>
      <c r="AN4" s="108"/>
      <c r="AO4" s="108"/>
      <c r="AP4" s="108"/>
      <c r="AQ4" s="157"/>
    </row>
    <row r="5" spans="1:43" ht="15.75" customHeight="1" x14ac:dyDescent="0.25">
      <c r="A5" s="852"/>
      <c r="B5" s="864" t="s">
        <v>15</v>
      </c>
      <c r="C5" s="17"/>
      <c r="D5" s="18"/>
      <c r="E5" s="866" t="s">
        <v>16</v>
      </c>
      <c r="F5" s="866"/>
      <c r="G5" s="866"/>
      <c r="H5" s="866"/>
      <c r="I5" s="864" t="s">
        <v>17</v>
      </c>
      <c r="J5" s="864"/>
      <c r="K5" s="864"/>
      <c r="L5" s="864"/>
      <c r="M5" s="864" t="s">
        <v>18</v>
      </c>
      <c r="N5" s="864" t="s">
        <v>19</v>
      </c>
      <c r="O5" s="864"/>
      <c r="P5" s="864"/>
      <c r="Q5" s="864"/>
      <c r="R5" s="872"/>
      <c r="S5" s="841" t="s">
        <v>273</v>
      </c>
      <c r="T5" s="873" t="s">
        <v>274</v>
      </c>
      <c r="U5" s="841" t="s">
        <v>273</v>
      </c>
      <c r="V5" s="858" t="s">
        <v>275</v>
      </c>
      <c r="W5" s="849" t="s">
        <v>274</v>
      </c>
      <c r="X5" s="841" t="s">
        <v>273</v>
      </c>
      <c r="Y5" s="849" t="s">
        <v>274</v>
      </c>
      <c r="Z5" s="841" t="s">
        <v>273</v>
      </c>
      <c r="AA5" s="849" t="s">
        <v>274</v>
      </c>
      <c r="AB5" s="841" t="s">
        <v>273</v>
      </c>
      <c r="AC5" s="849" t="s">
        <v>274</v>
      </c>
      <c r="AD5" s="844" t="s">
        <v>273</v>
      </c>
      <c r="AE5" s="849" t="s">
        <v>274</v>
      </c>
      <c r="AF5" s="841" t="s">
        <v>273</v>
      </c>
      <c r="AG5" s="849" t="s">
        <v>274</v>
      </c>
    </row>
    <row r="6" spans="1:43" ht="15.75" customHeight="1" x14ac:dyDescent="0.25">
      <c r="A6" s="852"/>
      <c r="B6" s="865"/>
      <c r="C6" s="19" t="s">
        <v>21</v>
      </c>
      <c r="D6" s="868" t="s">
        <v>22</v>
      </c>
      <c r="E6" s="868"/>
      <c r="F6" s="19" t="s">
        <v>23</v>
      </c>
      <c r="G6" s="19" t="s">
        <v>24</v>
      </c>
      <c r="H6" s="20" t="s">
        <v>25</v>
      </c>
      <c r="I6" s="869" t="s">
        <v>26</v>
      </c>
      <c r="J6" s="864" t="s">
        <v>27</v>
      </c>
      <c r="K6" s="19" t="s">
        <v>24</v>
      </c>
      <c r="L6" s="864" t="s">
        <v>28</v>
      </c>
      <c r="M6" s="865"/>
      <c r="N6" s="869" t="s">
        <v>29</v>
      </c>
      <c r="O6" s="21"/>
      <c r="P6" s="21"/>
      <c r="Q6" s="19" t="s">
        <v>23</v>
      </c>
      <c r="R6" s="22" t="s">
        <v>30</v>
      </c>
      <c r="S6" s="842"/>
      <c r="T6" s="874"/>
      <c r="U6" s="842"/>
      <c r="V6" s="859"/>
      <c r="W6" s="850"/>
      <c r="X6" s="842"/>
      <c r="Y6" s="850"/>
      <c r="Z6" s="842"/>
      <c r="AA6" s="850"/>
      <c r="AB6" s="842"/>
      <c r="AC6" s="850"/>
      <c r="AD6" s="845"/>
      <c r="AE6" s="850"/>
      <c r="AF6" s="842"/>
      <c r="AG6" s="850"/>
    </row>
    <row r="7" spans="1:43" ht="15.75" customHeight="1" x14ac:dyDescent="0.25">
      <c r="A7" s="852"/>
      <c r="B7" s="865"/>
      <c r="C7" s="19" t="s">
        <v>31</v>
      </c>
      <c r="D7" s="868">
        <v>2010</v>
      </c>
      <c r="E7" s="868"/>
      <c r="F7" s="19" t="s">
        <v>32</v>
      </c>
      <c r="G7" s="19" t="s">
        <v>33</v>
      </c>
      <c r="H7" s="20" t="s">
        <v>34</v>
      </c>
      <c r="I7" s="869"/>
      <c r="J7" s="864"/>
      <c r="K7" s="19" t="s">
        <v>33</v>
      </c>
      <c r="L7" s="864"/>
      <c r="M7" s="865"/>
      <c r="N7" s="870"/>
      <c r="O7" s="24"/>
      <c r="P7" s="24"/>
      <c r="Q7" s="19" t="s">
        <v>35</v>
      </c>
      <c r="R7" s="22" t="s">
        <v>36</v>
      </c>
      <c r="S7" s="842"/>
      <c r="T7" s="874"/>
      <c r="U7" s="842"/>
      <c r="V7" s="859"/>
      <c r="W7" s="850"/>
      <c r="X7" s="842"/>
      <c r="Y7" s="850"/>
      <c r="Z7" s="842"/>
      <c r="AA7" s="850"/>
      <c r="AB7" s="842"/>
      <c r="AC7" s="850"/>
      <c r="AD7" s="845"/>
      <c r="AE7" s="850"/>
      <c r="AF7" s="842"/>
      <c r="AG7" s="850"/>
    </row>
    <row r="8" spans="1:43" ht="15.75" customHeight="1" thickBot="1" x14ac:dyDescent="0.3">
      <c r="A8" s="853"/>
      <c r="B8" s="25">
        <v>2014</v>
      </c>
      <c r="C8" s="25" t="s">
        <v>37</v>
      </c>
      <c r="D8" s="26" t="s">
        <v>38</v>
      </c>
      <c r="E8" s="26" t="s">
        <v>39</v>
      </c>
      <c r="F8" s="26" t="s">
        <v>40</v>
      </c>
      <c r="G8" s="27">
        <v>0.6</v>
      </c>
      <c r="H8" s="28">
        <v>0.6</v>
      </c>
      <c r="I8" s="26" t="s">
        <v>41</v>
      </c>
      <c r="J8" s="26"/>
      <c r="K8" s="27">
        <v>0.3</v>
      </c>
      <c r="L8" s="26" t="s">
        <v>42</v>
      </c>
      <c r="M8" s="867"/>
      <c r="N8" s="871"/>
      <c r="O8" s="29"/>
      <c r="P8" s="29"/>
      <c r="Q8" s="26" t="s">
        <v>43</v>
      </c>
      <c r="R8" s="30" t="s">
        <v>44</v>
      </c>
      <c r="S8" s="843"/>
      <c r="T8" s="657" t="s">
        <v>45</v>
      </c>
      <c r="U8" s="843"/>
      <c r="V8" s="860"/>
      <c r="W8" s="173" t="s">
        <v>45</v>
      </c>
      <c r="X8" s="843"/>
      <c r="Y8" s="173" t="s">
        <v>45</v>
      </c>
      <c r="Z8" s="843"/>
      <c r="AA8" s="173" t="s">
        <v>45</v>
      </c>
      <c r="AB8" s="843"/>
      <c r="AC8" s="173" t="s">
        <v>45</v>
      </c>
      <c r="AD8" s="846"/>
      <c r="AE8" s="174" t="s">
        <v>45</v>
      </c>
      <c r="AF8" s="843"/>
      <c r="AG8" s="173" t="s">
        <v>45</v>
      </c>
    </row>
    <row r="9" spans="1:43" ht="27" customHeight="1" x14ac:dyDescent="0.25">
      <c r="A9" s="31" t="s">
        <v>46</v>
      </c>
      <c r="B9" s="32">
        <v>3.62</v>
      </c>
      <c r="C9" s="33">
        <f>[1]Datos!I$13*B9%</f>
        <v>35350314.182820007</v>
      </c>
      <c r="D9" s="34">
        <f>E9/E$29*100</f>
        <v>3.3707564846877225</v>
      </c>
      <c r="E9" s="35">
        <v>36572</v>
      </c>
      <c r="F9" s="36">
        <f>D9</f>
        <v>3.3707564846877225</v>
      </c>
      <c r="G9" s="36">
        <f>F9*0.6</f>
        <v>2.0224538908126335</v>
      </c>
      <c r="H9" s="37">
        <f>[1]Datos!$K$18*Consolidado!G9/100</f>
        <v>5653240.9108052226</v>
      </c>
      <c r="I9" s="34">
        <v>1.210777</v>
      </c>
      <c r="J9" s="34">
        <f>I9/$I$29*100</f>
        <v>5.6616379474610792</v>
      </c>
      <c r="K9" s="34">
        <f>J9*0.3</f>
        <v>1.6984913842383238</v>
      </c>
      <c r="L9" s="35">
        <f>[1]Datos!$K$18*Consolidado!K9/100</f>
        <v>4747688.4509679256</v>
      </c>
      <c r="M9" s="38">
        <f>H9+L9</f>
        <v>10400929.361773148</v>
      </c>
      <c r="N9" s="34">
        <f>K9+G9</f>
        <v>3.7209452750509575</v>
      </c>
      <c r="O9" s="34">
        <f>1/N9</f>
        <v>0.26874891353684455</v>
      </c>
      <c r="P9" s="34">
        <f>O9/$O$29*100</f>
        <v>4.2169783378374488</v>
      </c>
      <c r="Q9" s="34">
        <f>P9*0.1</f>
        <v>0.42169783378374492</v>
      </c>
      <c r="R9" s="39">
        <f>Q9*[1]Datos!$K$18/100</f>
        <v>1178746.0059157736</v>
      </c>
      <c r="S9" s="175">
        <f>FGP!U8</f>
        <v>3.6801172209122921</v>
      </c>
      <c r="T9" s="176">
        <f>FGP!T8</f>
        <v>52419197.473485358</v>
      </c>
      <c r="U9" s="177">
        <f>FFM!S9</f>
        <v>2.219336297115202</v>
      </c>
      <c r="V9" s="178">
        <f>FFM!N9</f>
        <v>0</v>
      </c>
      <c r="W9" s="179">
        <f>FFM!Q9</f>
        <v>17070890.198038727</v>
      </c>
      <c r="X9" s="397">
        <f>FOFIR!I9</f>
        <v>0.21686411651904153</v>
      </c>
      <c r="Y9" s="179">
        <f>FOFIR!K9</f>
        <v>1676823.7796844789</v>
      </c>
      <c r="Z9" s="397">
        <f>'IEPS TyA'!E10</f>
        <v>0.05</v>
      </c>
      <c r="AA9" s="179">
        <f>'IEPS TyA'!G10</f>
        <v>1010873.73375</v>
      </c>
      <c r="AB9" s="397">
        <f>'IEPS GyD '!F9</f>
        <v>3.0136241193535018</v>
      </c>
      <c r="AC9" s="179">
        <f>'IEPS GyD '!H9</f>
        <v>1754512.4785721223</v>
      </c>
      <c r="AD9" s="400">
        <f>FGP!F8+FGP!L8+FGP!R8</f>
        <v>3.6801172209122921</v>
      </c>
      <c r="AE9" s="350">
        <f>'Incentivo ISAN'!J9</f>
        <v>210895.94120173575</v>
      </c>
      <c r="AF9" s="41">
        <f>FGP!F8+FGP!L8+FGP!R8</f>
        <v>3.6801172209122921</v>
      </c>
      <c r="AG9" s="40">
        <f>'FOCO ISAN'!J9</f>
        <v>91126.165595657571</v>
      </c>
      <c r="AH9" s="42"/>
      <c r="AI9" s="363"/>
      <c r="AJ9" s="42"/>
    </row>
    <row r="10" spans="1:43" ht="27" customHeight="1" x14ac:dyDescent="0.25">
      <c r="A10" s="43" t="s">
        <v>47</v>
      </c>
      <c r="B10" s="44">
        <v>2.4700000000000002</v>
      </c>
      <c r="C10" s="45">
        <f>[1]Datos!I$13*B10%</f>
        <v>24120241.997670002</v>
      </c>
      <c r="D10" s="46">
        <f t="shared" ref="D10:D28" si="0">E10/E$29*100</f>
        <v>1.4036216369164749</v>
      </c>
      <c r="E10" s="47">
        <v>15229</v>
      </c>
      <c r="F10" s="48">
        <f t="shared" ref="F10:F29" si="1">D10</f>
        <v>1.4036216369164749</v>
      </c>
      <c r="G10" s="48">
        <f t="shared" ref="G10:G28" si="2">F10*0.6</f>
        <v>0.8421729821498849</v>
      </c>
      <c r="H10" s="49">
        <f>[1]Datos!$K$18*Consolidado!G10/100</f>
        <v>2354074.314520746</v>
      </c>
      <c r="I10" s="46">
        <v>1.1581699999999999</v>
      </c>
      <c r="J10" s="46">
        <f t="shared" ref="J10:J28" si="3">I10/$I$29*100</f>
        <v>5.4156456734898315</v>
      </c>
      <c r="K10" s="46">
        <f t="shared" ref="K10:K28" si="4">J10*0.3</f>
        <v>1.6246937020469494</v>
      </c>
      <c r="L10" s="50">
        <f>[1]Datos!$K$18*Consolidado!K10/100</f>
        <v>4541406.3310234025</v>
      </c>
      <c r="M10" s="51">
        <f t="shared" ref="M10:M29" si="5">H10+L10</f>
        <v>6895480.645544149</v>
      </c>
      <c r="N10" s="46">
        <f t="shared" ref="N10:N28" si="6">K10+G10</f>
        <v>2.4668666841968343</v>
      </c>
      <c r="O10" s="46">
        <f t="shared" ref="O10:O28" si="7">1/N10</f>
        <v>0.40537253448115756</v>
      </c>
      <c r="P10" s="46">
        <f t="shared" ref="P10:P28" si="8">O10/$O$29*100</f>
        <v>6.3607594693659895</v>
      </c>
      <c r="Q10" s="46">
        <f t="shared" ref="Q10:Q28" si="9">P10*0.1</f>
        <v>0.63607594693659897</v>
      </c>
      <c r="R10" s="52">
        <f>Q10*[1]Datos!$K$18/100</f>
        <v>1777983.9540155372</v>
      </c>
      <c r="S10" s="175">
        <f>FGP!U9</f>
        <v>2.5424050023415425</v>
      </c>
      <c r="T10" s="176">
        <f>FGP!T9</f>
        <v>35912261.560518004</v>
      </c>
      <c r="U10" s="177">
        <f>FFM!S10</f>
        <v>0.90429438837528697</v>
      </c>
      <c r="V10" s="178">
        <f>FFM!N10</f>
        <v>0</v>
      </c>
      <c r="W10" s="179">
        <f>FFM!Q10</f>
        <v>11258796.503348449</v>
      </c>
      <c r="X10" s="397">
        <f>FOFIR!I10</f>
        <v>3.5400131192361767E-2</v>
      </c>
      <c r="Y10" s="179">
        <f>FOFIR!K10</f>
        <v>667872.12538840959</v>
      </c>
      <c r="Z10" s="397">
        <f>'IEPS TyA'!E11</f>
        <v>0.05</v>
      </c>
      <c r="AA10" s="179">
        <f>'IEPS TyA'!G11</f>
        <v>1390097.7337500001</v>
      </c>
      <c r="AB10" s="397">
        <f>'IEPS GyD '!F10</f>
        <v>1.2459367229589724</v>
      </c>
      <c r="AC10" s="179">
        <f>'IEPS GyD '!H10</f>
        <v>717976.16697023204</v>
      </c>
      <c r="AD10" s="401">
        <f>FGP!F9+FGP!L9+FGP!R9</f>
        <v>2.5424050023415425</v>
      </c>
      <c r="AE10" s="350">
        <f>'Incentivo ISAN'!J10</f>
        <v>145697.23291365767</v>
      </c>
      <c r="AF10" s="41">
        <f>FGP!F9+FGP!L9+FGP!R9</f>
        <v>2.5424050023415425</v>
      </c>
      <c r="AG10" s="40">
        <f>'FOCO ISAN'!J10</f>
        <v>62954.412956761953</v>
      </c>
      <c r="AH10" s="42"/>
      <c r="AI10" s="42"/>
      <c r="AJ10" s="42"/>
    </row>
    <row r="11" spans="1:43" ht="27" customHeight="1" x14ac:dyDescent="0.25">
      <c r="A11" s="43" t="s">
        <v>48</v>
      </c>
      <c r="B11" s="44">
        <v>2.33</v>
      </c>
      <c r="C11" s="45">
        <f>[1]Datos!I$13*B11%</f>
        <v>22753102.77513</v>
      </c>
      <c r="D11" s="46">
        <f t="shared" si="0"/>
        <v>1.0311720319010782</v>
      </c>
      <c r="E11" s="50">
        <v>11188</v>
      </c>
      <c r="F11" s="48">
        <f t="shared" si="1"/>
        <v>1.0311720319010782</v>
      </c>
      <c r="G11" s="48">
        <f t="shared" si="2"/>
        <v>0.61870321914064685</v>
      </c>
      <c r="H11" s="49">
        <f>[1]Datos!$K$18*Consolidado!G11/100</f>
        <v>1729423.0370252877</v>
      </c>
      <c r="I11" s="46">
        <v>1.096811</v>
      </c>
      <c r="J11" s="46">
        <f t="shared" si="3"/>
        <v>5.1287287244411921</v>
      </c>
      <c r="K11" s="46">
        <f t="shared" si="4"/>
        <v>1.5386186173323575</v>
      </c>
      <c r="L11" s="50">
        <f>[1]Datos!$K$18*Consolidado!K11/100</f>
        <v>4300805.943286485</v>
      </c>
      <c r="M11" s="51">
        <f t="shared" si="5"/>
        <v>6030228.9803117728</v>
      </c>
      <c r="N11" s="46">
        <f t="shared" si="6"/>
        <v>2.1573218364730042</v>
      </c>
      <c r="O11" s="46">
        <f t="shared" si="7"/>
        <v>0.46353769896238362</v>
      </c>
      <c r="P11" s="46">
        <f t="shared" si="8"/>
        <v>7.2734375353201246</v>
      </c>
      <c r="Q11" s="46">
        <f t="shared" si="9"/>
        <v>0.72734375353201253</v>
      </c>
      <c r="R11" s="52">
        <f>Q11*[1]Datos!$K$18/100</f>
        <v>2033099.2376956686</v>
      </c>
      <c r="S11" s="175">
        <f>FGP!U10</f>
        <v>2.6237819217741962</v>
      </c>
      <c r="T11" s="176">
        <f>FGP!T10</f>
        <v>34922559.538199984</v>
      </c>
      <c r="U11" s="177">
        <f>FFM!S11</f>
        <v>0.65855407214960049</v>
      </c>
      <c r="V11" s="178">
        <f>FFM!N11</f>
        <v>0</v>
      </c>
      <c r="W11" s="179">
        <f>FFM!Q11</f>
        <v>10496616.399666457</v>
      </c>
      <c r="X11" s="397">
        <f>FOFIR!I11</f>
        <v>1.8076239653377235E-2</v>
      </c>
      <c r="Y11" s="179">
        <f>FOFIR!K11</f>
        <v>486128.24040287355</v>
      </c>
      <c r="Z11" s="397">
        <f>'IEPS TyA'!E12</f>
        <v>0.05</v>
      </c>
      <c r="AA11" s="179">
        <f>'IEPS TyA'!G12</f>
        <v>1460171.7337500001</v>
      </c>
      <c r="AB11" s="397">
        <f>'IEPS GyD '!F11</f>
        <v>0.93374430169912959</v>
      </c>
      <c r="AC11" s="179">
        <f>'IEPS GyD '!H11</f>
        <v>527713.10201998288</v>
      </c>
      <c r="AD11" s="401">
        <f>FGP!F10+FGP!L10+FGP!R10</f>
        <v>2.6237819217741962</v>
      </c>
      <c r="AE11" s="350">
        <f>'Incentivo ISAN'!J11</f>
        <v>150360.68817489874</v>
      </c>
      <c r="AF11" s="41">
        <f>FGP!F10+FGP!L10+FGP!R10</f>
        <v>2.6237819217741962</v>
      </c>
      <c r="AG11" s="40">
        <f>'FOCO ISAN'!J11</f>
        <v>64969.448400129215</v>
      </c>
      <c r="AH11" s="42"/>
      <c r="AI11" s="42"/>
      <c r="AJ11" s="42"/>
    </row>
    <row r="12" spans="1:43" ht="27" customHeight="1" x14ac:dyDescent="0.25">
      <c r="A12" s="43" t="s">
        <v>49</v>
      </c>
      <c r="B12" s="44">
        <v>2.81</v>
      </c>
      <c r="C12" s="45">
        <f>[1]Datos!I$13*B12%</f>
        <v>27440437.252410002</v>
      </c>
      <c r="D12" s="46">
        <f t="shared" si="0"/>
        <v>11.447687005923617</v>
      </c>
      <c r="E12" s="50">
        <v>124205</v>
      </c>
      <c r="F12" s="48">
        <f t="shared" si="1"/>
        <v>11.447687005923617</v>
      </c>
      <c r="G12" s="48">
        <f t="shared" si="2"/>
        <v>6.8686122035541706</v>
      </c>
      <c r="H12" s="49">
        <f>[1]Datos!$K$18*Consolidado!G12/100</f>
        <v>19199409.037694484</v>
      </c>
      <c r="I12" s="46">
        <v>0.95977000000000001</v>
      </c>
      <c r="J12" s="46">
        <f t="shared" si="3"/>
        <v>4.4879199496147679</v>
      </c>
      <c r="K12" s="46">
        <f t="shared" si="4"/>
        <v>1.3463759848844303</v>
      </c>
      <c r="L12" s="50">
        <f>[1]Datos!$K$18*Consolidado!K12/100</f>
        <v>3763441.9423110001</v>
      </c>
      <c r="M12" s="51">
        <f t="shared" si="5"/>
        <v>22962850.980005484</v>
      </c>
      <c r="N12" s="46">
        <f t="shared" si="6"/>
        <v>8.2149881884386016</v>
      </c>
      <c r="O12" s="46">
        <f t="shared" si="7"/>
        <v>0.12172872036594699</v>
      </c>
      <c r="P12" s="46">
        <f t="shared" si="8"/>
        <v>1.9100630775405734</v>
      </c>
      <c r="Q12" s="46">
        <f t="shared" si="9"/>
        <v>0.19100630775405736</v>
      </c>
      <c r="R12" s="52">
        <f>Q12*[1]Datos!$K$18/100</f>
        <v>533908.17863502365</v>
      </c>
      <c r="S12" s="175">
        <f>FGP!U11</f>
        <v>10.811611930172436</v>
      </c>
      <c r="T12" s="176">
        <f>FGP!T11</f>
        <v>77586161.190608621</v>
      </c>
      <c r="U12" s="177">
        <f>FFM!S12</f>
        <v>27.933140056828098</v>
      </c>
      <c r="V12" s="178">
        <f>FFM!N12</f>
        <v>0</v>
      </c>
      <c r="W12" s="179">
        <f>FFM!Q12</f>
        <v>29966441.012453929</v>
      </c>
      <c r="X12" s="397">
        <f>FOFIR!I12</f>
        <v>31.1974437923142</v>
      </c>
      <c r="Y12" s="179">
        <f>FOFIR!K12</f>
        <v>13658749.332487987</v>
      </c>
      <c r="Z12" s="397">
        <f>'IEPS TyA'!E13</f>
        <v>0.05</v>
      </c>
      <c r="AA12" s="179">
        <f>'IEPS TyA'!G13</f>
        <v>1245827.7337500001</v>
      </c>
      <c r="AB12" s="397">
        <f>'IEPS GyD '!F12</f>
        <v>15.187266887691669</v>
      </c>
      <c r="AC12" s="179">
        <f>'IEPS GyD '!H12</f>
        <v>5120084.6963430503</v>
      </c>
      <c r="AD12" s="401">
        <f>FGP!F11+FGP!L11+FGP!R11</f>
        <v>10.811611930172438</v>
      </c>
      <c r="AE12" s="350">
        <f>'Incentivo ISAN'!J12</f>
        <v>619579.469089953</v>
      </c>
      <c r="AF12" s="41">
        <f>FGP!F11+FGP!L11+FGP!R11</f>
        <v>10.811611930172438</v>
      </c>
      <c r="AG12" s="40">
        <f>'FOCO ISAN'!J12</f>
        <v>267714.49928452197</v>
      </c>
      <c r="AH12" s="42"/>
      <c r="AI12" s="42"/>
      <c r="AJ12" s="42"/>
    </row>
    <row r="13" spans="1:43" ht="27" customHeight="1" x14ac:dyDescent="0.25">
      <c r="A13" s="43" t="s">
        <v>50</v>
      </c>
      <c r="B13" s="44">
        <v>4.6399999999999997</v>
      </c>
      <c r="C13" s="45">
        <f>[1]Datos!I$13*B13%</f>
        <v>45310899.947039999</v>
      </c>
      <c r="D13" s="46">
        <f t="shared" si="0"/>
        <v>6.4885126808905982</v>
      </c>
      <c r="E13" s="50">
        <v>70399</v>
      </c>
      <c r="F13" s="48">
        <f t="shared" si="1"/>
        <v>6.4885126808905982</v>
      </c>
      <c r="G13" s="48">
        <f t="shared" si="2"/>
        <v>3.8931076085343586</v>
      </c>
      <c r="H13" s="49">
        <f>[1]Datos!$K$18*Consolidado!G13/100</f>
        <v>10882164.138679232</v>
      </c>
      <c r="I13" s="46">
        <v>0.95178300000000005</v>
      </c>
      <c r="J13" s="46">
        <f t="shared" si="3"/>
        <v>4.4505724427771165</v>
      </c>
      <c r="K13" s="46">
        <f t="shared" si="4"/>
        <v>1.3351717328331349</v>
      </c>
      <c r="L13" s="50">
        <f>[1]Datos!$K$18*Consolidado!K13/100</f>
        <v>3732123.3859972609</v>
      </c>
      <c r="M13" s="51">
        <f t="shared" si="5"/>
        <v>14614287.524676494</v>
      </c>
      <c r="N13" s="46">
        <f t="shared" si="6"/>
        <v>5.2282793413674931</v>
      </c>
      <c r="O13" s="46">
        <f t="shared" si="7"/>
        <v>0.19126751550701249</v>
      </c>
      <c r="P13" s="46">
        <f t="shared" si="8"/>
        <v>3.001206438419636</v>
      </c>
      <c r="Q13" s="46">
        <f t="shared" si="9"/>
        <v>0.30012064384196363</v>
      </c>
      <c r="R13" s="52">
        <f>Q13*[1]Datos!$K$18/100</f>
        <v>838908.76803271263</v>
      </c>
      <c r="S13" s="175">
        <f>FGP!U12</f>
        <v>7.2261420913986409</v>
      </c>
      <c r="T13" s="176">
        <f>FGP!T12</f>
        <v>78826728.002449498</v>
      </c>
      <c r="U13" s="177">
        <f>FFM!S13</f>
        <v>6.9051989186254552</v>
      </c>
      <c r="V13" s="178">
        <f>FFM!N13</f>
        <v>0</v>
      </c>
      <c r="W13" s="179">
        <f>FFM!Q13</f>
        <v>24470457.83053226</v>
      </c>
      <c r="X13" s="397">
        <f>FOFIR!I13</f>
        <v>2.3872898032926746</v>
      </c>
      <c r="Y13" s="179">
        <f>FOFIR!K13</f>
        <v>3670163.7027306128</v>
      </c>
      <c r="Z13" s="397">
        <f>'IEPS TyA'!E14</f>
        <v>0.05</v>
      </c>
      <c r="AA13" s="179">
        <f>'IEPS TyA'!G14</f>
        <v>831566.73375000001</v>
      </c>
      <c r="AB13" s="397">
        <f>'IEPS GyD '!F13</f>
        <v>6.2678071902196431</v>
      </c>
      <c r="AC13" s="179">
        <f>'IEPS GyD '!H13</f>
        <v>3275366.1533737341</v>
      </c>
      <c r="AD13" s="401">
        <f>FGP!F12+FGP!L12+FGP!R12</f>
        <v>7.2261420913986409</v>
      </c>
      <c r="AE13" s="350">
        <f>'Incentivo ISAN'!J13</f>
        <v>414107.4716215721</v>
      </c>
      <c r="AF13" s="41">
        <f>FGP!F12+FGP!L12+FGP!R12</f>
        <v>7.2261420913986409</v>
      </c>
      <c r="AG13" s="40">
        <f>'FOCO ISAN'!J13</f>
        <v>178931.96909507841</v>
      </c>
      <c r="AH13" s="42"/>
      <c r="AI13" s="42"/>
      <c r="AJ13" s="42"/>
    </row>
    <row r="14" spans="1:43" ht="27" customHeight="1" x14ac:dyDescent="0.25">
      <c r="A14" s="43" t="s">
        <v>51</v>
      </c>
      <c r="B14" s="44">
        <v>1.5</v>
      </c>
      <c r="C14" s="45">
        <f>[1]Datos!I$13*B14%</f>
        <v>14647920.2415</v>
      </c>
      <c r="D14" s="46">
        <f t="shared" si="0"/>
        <v>3.1613515100292262</v>
      </c>
      <c r="E14" s="50">
        <v>34300</v>
      </c>
      <c r="F14" s="48">
        <f t="shared" si="1"/>
        <v>3.1613515100292262</v>
      </c>
      <c r="G14" s="48">
        <f t="shared" si="2"/>
        <v>1.8968109060175355</v>
      </c>
      <c r="H14" s="49">
        <f>[1]Datos!$K$18*Consolidado!G14/100</f>
        <v>5302038.8067543237</v>
      </c>
      <c r="I14" s="46">
        <v>1.071404</v>
      </c>
      <c r="J14" s="46">
        <f t="shared" si="3"/>
        <v>5.0099246545495904</v>
      </c>
      <c r="K14" s="46">
        <f t="shared" si="4"/>
        <v>1.5029773963648771</v>
      </c>
      <c r="L14" s="50">
        <f>[1]Datos!$K$18*Consolidado!K14/100</f>
        <v>4201180.2314718887</v>
      </c>
      <c r="M14" s="51">
        <f t="shared" si="5"/>
        <v>9503219.0382262133</v>
      </c>
      <c r="N14" s="46">
        <f t="shared" si="6"/>
        <v>3.3997883023824125</v>
      </c>
      <c r="O14" s="46">
        <f t="shared" si="7"/>
        <v>0.29413596114182955</v>
      </c>
      <c r="P14" s="46">
        <f t="shared" si="8"/>
        <v>4.6153301986988051</v>
      </c>
      <c r="Q14" s="46">
        <f t="shared" si="9"/>
        <v>0.46153301986988055</v>
      </c>
      <c r="R14" s="52">
        <f>Q14*[1]Datos!$K$18/100</f>
        <v>1290094.8503540491</v>
      </c>
      <c r="S14" s="175">
        <f>FGP!U13</f>
        <v>3.8727652527570857</v>
      </c>
      <c r="T14" s="176">
        <f>FGP!T13</f>
        <v>32610331.258143611</v>
      </c>
      <c r="U14" s="177">
        <f>FFM!S14</f>
        <v>1.9303154410468673</v>
      </c>
      <c r="V14" s="178">
        <f>FFM!N14</f>
        <v>0.53761122811077788</v>
      </c>
      <c r="W14" s="179">
        <f>FFM!Q14</f>
        <v>7865069.5763557004</v>
      </c>
      <c r="X14" s="397">
        <f>FOFIR!I14</f>
        <v>2.3029990510555678E-3</v>
      </c>
      <c r="Y14" s="179">
        <f>FOFIR!K14</f>
        <v>1420081.9966130769</v>
      </c>
      <c r="Z14" s="397">
        <f>'IEPS TyA'!E15</f>
        <v>0.05</v>
      </c>
      <c r="AA14" s="179">
        <f>'IEPS TyA'!G15</f>
        <v>2158850.7337500001</v>
      </c>
      <c r="AB14" s="397">
        <f>'IEPS GyD '!F14</f>
        <v>3.8487813406547868</v>
      </c>
      <c r="AC14" s="179">
        <f>'IEPS GyD '!H14</f>
        <v>1680372.1600815004</v>
      </c>
      <c r="AD14" s="401">
        <f>FGP!F13+FGP!L13+FGP!R13</f>
        <v>3.8727652527570857</v>
      </c>
      <c r="AE14" s="350">
        <f>'Incentivo ISAN'!J14</f>
        <v>221935.99388421469</v>
      </c>
      <c r="AF14" s="41">
        <f>FGP!F13+FGP!L13+FGP!R13</f>
        <v>3.8727652527570857</v>
      </c>
      <c r="AG14" s="40">
        <f>'FOCO ISAN'!J14</f>
        <v>95896.469202240594</v>
      </c>
      <c r="AH14" s="42"/>
      <c r="AI14" s="42"/>
      <c r="AJ14" s="42"/>
    </row>
    <row r="15" spans="1:43" ht="27" customHeight="1" x14ac:dyDescent="0.25">
      <c r="A15" s="43" t="s">
        <v>52</v>
      </c>
      <c r="B15" s="44">
        <v>1.53</v>
      </c>
      <c r="C15" s="45">
        <f>[1]Datos!I$13*B15%</f>
        <v>14940878.646330001</v>
      </c>
      <c r="D15" s="46">
        <f t="shared" si="0"/>
        <v>1.050711580592804</v>
      </c>
      <c r="E15" s="50">
        <v>11400</v>
      </c>
      <c r="F15" s="48">
        <f t="shared" si="1"/>
        <v>1.050711580592804</v>
      </c>
      <c r="G15" s="48">
        <f t="shared" si="2"/>
        <v>0.63042694835568236</v>
      </c>
      <c r="H15" s="49">
        <f>[1]Datos!$K$18*Consolidado!G15/100</f>
        <v>1762193.6558891919</v>
      </c>
      <c r="I15" s="46">
        <v>1.737498</v>
      </c>
      <c r="J15" s="46">
        <f t="shared" si="3"/>
        <v>8.1246047872050173</v>
      </c>
      <c r="K15" s="46">
        <f t="shared" si="4"/>
        <v>2.4373814361615049</v>
      </c>
      <c r="L15" s="50">
        <f>[1]Datos!$K$18*Consolidado!K15/100</f>
        <v>6813062.3460636167</v>
      </c>
      <c r="M15" s="51">
        <f t="shared" si="5"/>
        <v>8575256.0019528084</v>
      </c>
      <c r="N15" s="46">
        <f t="shared" si="6"/>
        <v>3.0678083845171873</v>
      </c>
      <c r="O15" s="46">
        <f t="shared" si="7"/>
        <v>0.32596559975742434</v>
      </c>
      <c r="P15" s="46">
        <f t="shared" si="8"/>
        <v>5.1147736932852705</v>
      </c>
      <c r="Q15" s="46">
        <f t="shared" si="9"/>
        <v>0.51147736932852705</v>
      </c>
      <c r="R15" s="52">
        <f>Q15*[1]Datos!$K$18/100</f>
        <v>1429701.2171077179</v>
      </c>
      <c r="S15" s="175">
        <f>FGP!U14</f>
        <v>2.7904185385530926</v>
      </c>
      <c r="T15" s="176">
        <f>FGP!T14</f>
        <v>27883218.660940878</v>
      </c>
      <c r="U15" s="177">
        <f>FFM!S15</f>
        <v>0.5012171688315693</v>
      </c>
      <c r="V15" s="178">
        <f>FFM!N15</f>
        <v>0.17349206962937452</v>
      </c>
      <c r="W15" s="179">
        <f>FFM!Q15</f>
        <v>6983906.8023896776</v>
      </c>
      <c r="X15" s="397">
        <f>FOFIR!I15</f>
        <v>6.2567549513784101E-4</v>
      </c>
      <c r="Y15" s="179">
        <f>FOFIR!K15</f>
        <v>489478.68697594677</v>
      </c>
      <c r="Z15" s="397">
        <f>'IEPS TyA'!E16</f>
        <v>0.05</v>
      </c>
      <c r="AA15" s="179">
        <f>'IEPS TyA'!G16</f>
        <v>2121752.7337500001</v>
      </c>
      <c r="AB15" s="397">
        <f>'IEPS GyD '!F15</f>
        <v>0.98991789266473262</v>
      </c>
      <c r="AC15" s="179">
        <f>'IEPS GyD '!H15</f>
        <v>541744.0198642849</v>
      </c>
      <c r="AD15" s="401">
        <f>FGP!F14+FGP!L14+FGP!R14</f>
        <v>2.7904185385530926</v>
      </c>
      <c r="AE15" s="350">
        <f>'Incentivo ISAN'!J15</f>
        <v>159910.10848536008</v>
      </c>
      <c r="AF15" s="41">
        <f>FGP!F14+FGP!L14+FGP!R14</f>
        <v>2.7904185385530926</v>
      </c>
      <c r="AG15" s="40">
        <f>'FOCO ISAN'!J15</f>
        <v>69095.66368713291</v>
      </c>
      <c r="AH15" s="42"/>
      <c r="AI15" s="42"/>
      <c r="AJ15" s="42"/>
    </row>
    <row r="16" spans="1:43" ht="27" customHeight="1" x14ac:dyDescent="0.25">
      <c r="A16" s="43" t="s">
        <v>53</v>
      </c>
      <c r="B16" s="44">
        <v>3.16</v>
      </c>
      <c r="C16" s="45">
        <f>[1]Datos!I$13*B16%</f>
        <v>30858285.308760002</v>
      </c>
      <c r="D16" s="46">
        <f t="shared" si="0"/>
        <v>2.5136892050445216</v>
      </c>
      <c r="E16" s="50">
        <v>27273</v>
      </c>
      <c r="F16" s="48">
        <f t="shared" si="1"/>
        <v>2.5136892050445216</v>
      </c>
      <c r="G16" s="48">
        <f t="shared" si="2"/>
        <v>1.5082135230267129</v>
      </c>
      <c r="H16" s="49">
        <f>[1]Datos!$K$18*Consolidado!G16/100</f>
        <v>4215816.4541285904</v>
      </c>
      <c r="I16" s="46">
        <v>0.789829</v>
      </c>
      <c r="J16" s="46">
        <f t="shared" si="3"/>
        <v>3.6932695602949481</v>
      </c>
      <c r="K16" s="46">
        <f t="shared" si="4"/>
        <v>1.1079808680884844</v>
      </c>
      <c r="L16" s="50">
        <f>[1]Datos!$K$18*Consolidado!K16/100</f>
        <v>3097070.7417960083</v>
      </c>
      <c r="M16" s="51">
        <f t="shared" si="5"/>
        <v>7312887.1959245987</v>
      </c>
      <c r="N16" s="46">
        <f t="shared" si="6"/>
        <v>2.6161943911151972</v>
      </c>
      <c r="O16" s="46">
        <f t="shared" si="7"/>
        <v>0.38223459365102186</v>
      </c>
      <c r="P16" s="46">
        <f t="shared" si="8"/>
        <v>5.9976986704263497</v>
      </c>
      <c r="Q16" s="46">
        <f t="shared" si="9"/>
        <v>0.59976986704263502</v>
      </c>
      <c r="R16" s="52">
        <f>Q16*[1]Datos!$K$18/100</f>
        <v>1676499.8029553366</v>
      </c>
      <c r="S16" s="175">
        <f>FGP!U15</f>
        <v>3.3598990994718916</v>
      </c>
      <c r="T16" s="176">
        <f>FGP!T15</f>
        <v>46441953.478732176</v>
      </c>
      <c r="U16" s="177">
        <f>FFM!S16</f>
        <v>1.9325807228374001</v>
      </c>
      <c r="V16" s="178">
        <f>FFM!N16</f>
        <v>0</v>
      </c>
      <c r="W16" s="179">
        <f>FFM!Q16</f>
        <v>14898637.897724498</v>
      </c>
      <c r="X16" s="397">
        <f>FOFIR!I16</f>
        <v>0.17887221067679274</v>
      </c>
      <c r="Y16" s="179">
        <f>FOFIR!K16</f>
        <v>1250577.3066296601</v>
      </c>
      <c r="Z16" s="397">
        <f>'IEPS TyA'!E17</f>
        <v>0.05</v>
      </c>
      <c r="AA16" s="179">
        <f>'IEPS TyA'!G17</f>
        <v>1130411.7337499999</v>
      </c>
      <c r="AB16" s="397">
        <f>'IEPS GyD '!F16</f>
        <v>2.3715130283878989</v>
      </c>
      <c r="AC16" s="179">
        <f>'IEPS GyD '!H16</f>
        <v>1317589.5585305546</v>
      </c>
      <c r="AD16" s="401">
        <f>FGP!F15+FGP!L15+FGP!R15</f>
        <v>3.3598990994718916</v>
      </c>
      <c r="AE16" s="350">
        <f>'Incentivo ISAN'!J16</f>
        <v>192545.2479881419</v>
      </c>
      <c r="AF16" s="41">
        <f>FGP!F15+FGP!L15+FGP!R15</f>
        <v>3.3598990994718916</v>
      </c>
      <c r="AG16" s="40">
        <f>'FOCO ISAN'!J16</f>
        <v>83197.002525717486</v>
      </c>
      <c r="AH16" s="42"/>
      <c r="AI16" s="42"/>
      <c r="AJ16" s="42"/>
    </row>
    <row r="17" spans="1:36" ht="27" customHeight="1" x14ac:dyDescent="0.25">
      <c r="A17" s="43" t="s">
        <v>54</v>
      </c>
      <c r="B17" s="44">
        <v>2.81</v>
      </c>
      <c r="C17" s="45">
        <f>[1]Datos!I$13*B17%</f>
        <v>27440437.252410002</v>
      </c>
      <c r="D17" s="46">
        <f t="shared" si="0"/>
        <v>1.6311836450290742</v>
      </c>
      <c r="E17" s="50">
        <v>17698</v>
      </c>
      <c r="F17" s="48">
        <f t="shared" si="1"/>
        <v>1.6311836450290742</v>
      </c>
      <c r="G17" s="48">
        <f t="shared" si="2"/>
        <v>0.9787101870174445</v>
      </c>
      <c r="H17" s="49">
        <f>[1]Datos!$K$18*Consolidado!G17/100</f>
        <v>2735728.3615725366</v>
      </c>
      <c r="I17" s="46">
        <v>1.0861320000000001</v>
      </c>
      <c r="J17" s="46">
        <f t="shared" si="3"/>
        <v>5.0787933262291878</v>
      </c>
      <c r="K17" s="46">
        <f t="shared" si="4"/>
        <v>1.5236379978687562</v>
      </c>
      <c r="L17" s="50">
        <f>[1]Datos!$K$18*Consolidado!K17/100</f>
        <v>4258931.5395210637</v>
      </c>
      <c r="M17" s="51">
        <f t="shared" si="5"/>
        <v>6994659.9010936003</v>
      </c>
      <c r="N17" s="46">
        <f t="shared" si="6"/>
        <v>2.5023481848862006</v>
      </c>
      <c r="O17" s="46">
        <f t="shared" si="7"/>
        <v>0.3996246429812792</v>
      </c>
      <c r="P17" s="46">
        <f t="shared" si="8"/>
        <v>6.2705684668267221</v>
      </c>
      <c r="Q17" s="46">
        <f t="shared" si="9"/>
        <v>0.62705684668267225</v>
      </c>
      <c r="R17" s="52">
        <f>Q17*[1]Datos!$K$18/100</f>
        <v>1752773.4180593055</v>
      </c>
      <c r="S17" s="175">
        <f>FGP!U16</f>
        <v>3.2387652857906701</v>
      </c>
      <c r="T17" s="176">
        <f>FGP!T16</f>
        <v>42462270.349159859</v>
      </c>
      <c r="U17" s="177">
        <f>FFM!S17</f>
        <v>1.0515922770176624</v>
      </c>
      <c r="V17" s="178">
        <f>FFM!N17</f>
        <v>0</v>
      </c>
      <c r="W17" s="179">
        <f>FFM!Q17</f>
        <v>12823143.536904898</v>
      </c>
      <c r="X17" s="397">
        <f>FOFIR!I17</f>
        <v>4.2590093621651476E-2</v>
      </c>
      <c r="Y17" s="179">
        <f>FOFIR!K17</f>
        <v>758283.04761397862</v>
      </c>
      <c r="Z17" s="397">
        <f>'IEPS TyA'!E18</f>
        <v>0.05</v>
      </c>
      <c r="AA17" s="179">
        <f>'IEPS TyA'!G18</f>
        <v>1245827.7337500001</v>
      </c>
      <c r="AB17" s="397">
        <f>'IEPS GyD '!F17</f>
        <v>1.563876010153336</v>
      </c>
      <c r="AC17" s="179">
        <f>'IEPS GyD '!H17</f>
        <v>831132.78237717482</v>
      </c>
      <c r="AD17" s="401">
        <f>FGP!F16+FGP!L16+FGP!R16</f>
        <v>3.2387652857906701</v>
      </c>
      <c r="AE17" s="350">
        <f>'Incentivo ISAN'!J17</f>
        <v>185603.45018276555</v>
      </c>
      <c r="AF17" s="41">
        <f>FGP!F16+FGP!L16+FGP!R16</f>
        <v>3.2387652857906701</v>
      </c>
      <c r="AG17" s="40">
        <f>'FOCO ISAN'!J17</f>
        <v>80197.516557710172</v>
      </c>
      <c r="AH17" s="42"/>
      <c r="AI17" s="42"/>
      <c r="AJ17" s="42"/>
    </row>
    <row r="18" spans="1:36" ht="27" customHeight="1" x14ac:dyDescent="0.25">
      <c r="A18" s="43" t="s">
        <v>55</v>
      </c>
      <c r="B18" s="44">
        <v>1.6</v>
      </c>
      <c r="C18" s="45">
        <f>[1]Datos!I$13*B18%</f>
        <v>15624448.2576</v>
      </c>
      <c r="D18" s="46">
        <f t="shared" si="0"/>
        <v>1.2534804821107137</v>
      </c>
      <c r="E18" s="50">
        <v>13600</v>
      </c>
      <c r="F18" s="48">
        <f t="shared" si="1"/>
        <v>1.2534804821107137</v>
      </c>
      <c r="G18" s="48">
        <f t="shared" si="2"/>
        <v>0.75208828926642823</v>
      </c>
      <c r="H18" s="49">
        <f>[1]Datos!$K$18*Consolidado!G18/100</f>
        <v>2102266.1157976328</v>
      </c>
      <c r="I18" s="46">
        <v>0.84773799999999999</v>
      </c>
      <c r="J18" s="46">
        <f t="shared" si="3"/>
        <v>3.9640541819878972</v>
      </c>
      <c r="K18" s="46">
        <f t="shared" si="4"/>
        <v>1.1892162545963691</v>
      </c>
      <c r="L18" s="50">
        <f>[1]Datos!$K$18*Consolidado!K18/100</f>
        <v>3324143.0189429163</v>
      </c>
      <c r="M18" s="51">
        <f t="shared" si="5"/>
        <v>5426409.1347405491</v>
      </c>
      <c r="N18" s="46">
        <f t="shared" si="6"/>
        <v>1.9413045438627974</v>
      </c>
      <c r="O18" s="46">
        <f t="shared" si="7"/>
        <v>0.51511752916943432</v>
      </c>
      <c r="P18" s="46">
        <f t="shared" si="8"/>
        <v>8.0827841622141037</v>
      </c>
      <c r="Q18" s="46">
        <f t="shared" si="9"/>
        <v>0.80827841622141039</v>
      </c>
      <c r="R18" s="52">
        <f>Q18*[1]Datos!$K$18/100</f>
        <v>2259330.9200575752</v>
      </c>
      <c r="S18" s="175">
        <f>FGP!U17</f>
        <v>2.4067721623105878</v>
      </c>
      <c r="T18" s="176">
        <f>FGP!T17</f>
        <v>26787384.294598807</v>
      </c>
      <c r="U18" s="177">
        <f>FFM!S18</f>
        <v>0.59048001453962062</v>
      </c>
      <c r="V18" s="178">
        <f>FFM!N18</f>
        <v>0</v>
      </c>
      <c r="W18" s="179">
        <f>FFM!Q18</f>
        <v>7296146.3355381815</v>
      </c>
      <c r="X18" s="397">
        <f>FOFIR!I18</f>
        <v>3.9543530337924418E-3</v>
      </c>
      <c r="Y18" s="179">
        <f>FOFIR!K18</f>
        <v>561048.45766659908</v>
      </c>
      <c r="Z18" s="397">
        <f>'IEPS TyA'!E19</f>
        <v>0.05</v>
      </c>
      <c r="AA18" s="179">
        <f>'IEPS TyA'!G19</f>
        <v>2037251.7337500001</v>
      </c>
      <c r="AB18" s="397">
        <f>'IEPS GyD '!F18</f>
        <v>1.1104401937422297</v>
      </c>
      <c r="AC18" s="179">
        <f>'IEPS GyD '!H18</f>
        <v>617364.24986452376</v>
      </c>
      <c r="AD18" s="401">
        <f>FGP!F17+FGP!L17+FGP!R17</f>
        <v>2.4067721623105878</v>
      </c>
      <c r="AE18" s="350">
        <f>'Incentivo ISAN'!J18</f>
        <v>137924.54151849018</v>
      </c>
      <c r="AF18" s="41">
        <f>FGP!F17+FGP!L17+FGP!R17</f>
        <v>2.4067721623105878</v>
      </c>
      <c r="AG18" s="40">
        <f>'FOCO ISAN'!J18</f>
        <v>59595.90563242021</v>
      </c>
      <c r="AH18" s="42"/>
      <c r="AI18" s="42"/>
      <c r="AJ18" s="42"/>
    </row>
    <row r="19" spans="1:36" ht="27" customHeight="1" x14ac:dyDescent="0.25">
      <c r="A19" s="43" t="s">
        <v>56</v>
      </c>
      <c r="B19" s="44">
        <v>2.84</v>
      </c>
      <c r="C19" s="45">
        <f>[1]Datos!I$13*B19%</f>
        <v>27733395.65724</v>
      </c>
      <c r="D19" s="46">
        <f t="shared" si="0"/>
        <v>3.1699231045024834</v>
      </c>
      <c r="E19" s="50">
        <v>34393</v>
      </c>
      <c r="F19" s="48">
        <f t="shared" si="1"/>
        <v>3.1699231045024834</v>
      </c>
      <c r="G19" s="48">
        <f t="shared" si="2"/>
        <v>1.90195386270149</v>
      </c>
      <c r="H19" s="49">
        <f>[1]Datos!$K$18*Consolidado!G19/100</f>
        <v>5316414.5971049992</v>
      </c>
      <c r="I19" s="46">
        <v>1.369108</v>
      </c>
      <c r="J19" s="46">
        <f t="shared" si="3"/>
        <v>6.4019995482013146</v>
      </c>
      <c r="K19" s="46">
        <f t="shared" si="4"/>
        <v>1.9205998644603943</v>
      </c>
      <c r="L19" s="50">
        <f>[1]Datos!$K$18*Consolidado!K19/100</f>
        <v>5368534.6184539311</v>
      </c>
      <c r="M19" s="51">
        <f t="shared" si="5"/>
        <v>10684949.215558931</v>
      </c>
      <c r="N19" s="46">
        <f t="shared" si="6"/>
        <v>3.8225537271618846</v>
      </c>
      <c r="O19" s="46">
        <f t="shared" si="7"/>
        <v>0.26160521770938344</v>
      </c>
      <c r="P19" s="46">
        <f t="shared" si="8"/>
        <v>4.1048855663354225</v>
      </c>
      <c r="Q19" s="46">
        <f t="shared" si="9"/>
        <v>0.41048855663354228</v>
      </c>
      <c r="R19" s="52">
        <f>Q19*[1]Datos!$K$18/100</f>
        <v>1147413.4032522747</v>
      </c>
      <c r="S19" s="175">
        <f>FGP!U18</f>
        <v>3.6087000422530968</v>
      </c>
      <c r="T19" s="176">
        <f>FGP!T18</f>
        <v>44471036.377544999</v>
      </c>
      <c r="U19" s="177">
        <f>FFM!S19</f>
        <v>1.5169815587843385</v>
      </c>
      <c r="V19" s="178">
        <f>FFM!N19</f>
        <v>22.336359871008909</v>
      </c>
      <c r="W19" s="179">
        <f>FFM!Q19</f>
        <v>19354540.442785814</v>
      </c>
      <c r="X19" s="397">
        <f>FOFIR!I19</f>
        <v>4.3491121274492422E-2</v>
      </c>
      <c r="Y19" s="179">
        <f>FOFIR!K19</f>
        <v>1507917.171466317</v>
      </c>
      <c r="Z19" s="397">
        <f>'IEPS TyA'!E20</f>
        <v>0.05</v>
      </c>
      <c r="AA19" s="179">
        <f>'IEPS TyA'!G20</f>
        <v>1233461.7337499999</v>
      </c>
      <c r="AB19" s="397">
        <f>'IEPS GyD '!F19</f>
        <v>2.7169725186489848</v>
      </c>
      <c r="AC19" s="179">
        <f>'IEPS GyD '!H19</f>
        <v>1620402.8042934956</v>
      </c>
      <c r="AD19" s="401">
        <f>FGP!F18+FGP!L18+FGP!R18</f>
        <v>3.6087000422530968</v>
      </c>
      <c r="AE19" s="350">
        <f>'Incentivo ISAN'!J19</f>
        <v>206803.24735336704</v>
      </c>
      <c r="AF19" s="41">
        <f>FGP!F18+FGP!L18+FGP!R18</f>
        <v>3.6087000422530968</v>
      </c>
      <c r="AG19" s="40">
        <f>'FOCO ISAN'!J19</f>
        <v>89357.750825635871</v>
      </c>
      <c r="AH19" s="42"/>
      <c r="AI19" s="42"/>
      <c r="AJ19" s="42"/>
    </row>
    <row r="20" spans="1:36" ht="27" customHeight="1" x14ac:dyDescent="0.25">
      <c r="A20" s="43" t="s">
        <v>57</v>
      </c>
      <c r="B20" s="44">
        <v>3.33</v>
      </c>
      <c r="C20" s="45">
        <f>[1]Datos!I$13*B20%</f>
        <v>32518382.936130002</v>
      </c>
      <c r="D20" s="46">
        <f t="shared" si="0"/>
        <v>2.1630833407835541</v>
      </c>
      <c r="E20" s="50">
        <v>23469</v>
      </c>
      <c r="F20" s="48">
        <f t="shared" si="1"/>
        <v>2.1630833407835541</v>
      </c>
      <c r="G20" s="48">
        <f t="shared" si="2"/>
        <v>1.2978500044701324</v>
      </c>
      <c r="H20" s="49">
        <f>[1]Datos!$K$18*Consolidado!G20/100</f>
        <v>3627800.2552687232</v>
      </c>
      <c r="I20" s="46">
        <v>0.71338900000000005</v>
      </c>
      <c r="J20" s="46">
        <f t="shared" si="3"/>
        <v>3.3358332985358259</v>
      </c>
      <c r="K20" s="46">
        <f t="shared" si="4"/>
        <v>1.0007499895607477</v>
      </c>
      <c r="L20" s="50">
        <f>[1]Datos!$K$18*Consolidado!K20/100</f>
        <v>2797334.8654191126</v>
      </c>
      <c r="M20" s="51">
        <f t="shared" si="5"/>
        <v>6425135.1206878358</v>
      </c>
      <c r="N20" s="46">
        <f t="shared" si="6"/>
        <v>2.2985999940308801</v>
      </c>
      <c r="O20" s="46">
        <f t="shared" si="7"/>
        <v>0.4350474212985514</v>
      </c>
      <c r="P20" s="46">
        <f t="shared" si="8"/>
        <v>6.8263924397094096</v>
      </c>
      <c r="Q20" s="46">
        <f t="shared" si="9"/>
        <v>0.682639243970941</v>
      </c>
      <c r="R20" s="52">
        <f>Q20*[1]Datos!$K$18/100</f>
        <v>1908139.4729780732</v>
      </c>
      <c r="S20" s="175">
        <f>FGP!U19</f>
        <v>3.449447846465401</v>
      </c>
      <c r="T20" s="176">
        <f>FGP!T19</f>
        <v>48517390.351975061</v>
      </c>
      <c r="U20" s="177">
        <f>FFM!S20</f>
        <v>1.1903372325619246</v>
      </c>
      <c r="V20" s="178">
        <f>FFM!N20</f>
        <v>0</v>
      </c>
      <c r="W20" s="179">
        <f>FFM!Q20</f>
        <v>15160488.446907619</v>
      </c>
      <c r="X20" s="397">
        <f>FOFIR!I20</f>
        <v>4.2379857637338966E-2</v>
      </c>
      <c r="Y20" s="179">
        <f>FOFIR!K20</f>
        <v>987430.73240566987</v>
      </c>
      <c r="Z20" s="397">
        <f>'IEPS TyA'!E21</f>
        <v>0.05</v>
      </c>
      <c r="AA20" s="179">
        <f>'IEPS TyA'!G21</f>
        <v>1083008.7337500001</v>
      </c>
      <c r="AB20" s="397">
        <f>'IEPS GyD '!F20</f>
        <v>1.9503729796933278</v>
      </c>
      <c r="AC20" s="179">
        <f>'IEPS GyD '!H20</f>
        <v>1076319.3292886189</v>
      </c>
      <c r="AD20" s="401">
        <f>FGP!F19+FGP!L19+FGP!R19</f>
        <v>3.449447846465401</v>
      </c>
      <c r="AE20" s="350">
        <f>'Incentivo ISAN'!J20</f>
        <v>197677.00498036909</v>
      </c>
      <c r="AF20" s="41">
        <f>FGP!F19+FGP!L19+FGP!R19</f>
        <v>3.449447846465401</v>
      </c>
      <c r="AG20" s="40">
        <f>'FOCO ISAN'!J20</f>
        <v>85414.386771263671</v>
      </c>
      <c r="AH20" s="42"/>
      <c r="AI20" s="42"/>
      <c r="AJ20" s="42"/>
    </row>
    <row r="21" spans="1:36" ht="27" customHeight="1" x14ac:dyDescent="0.25">
      <c r="A21" s="43" t="s">
        <v>58</v>
      </c>
      <c r="B21" s="44">
        <v>4.6900000000000004</v>
      </c>
      <c r="C21" s="45">
        <f>[1]Datos!I$13*B21%</f>
        <v>45799163.955090009</v>
      </c>
      <c r="D21" s="46">
        <f t="shared" si="0"/>
        <v>3.9742704697510276</v>
      </c>
      <c r="E21" s="50">
        <v>43120</v>
      </c>
      <c r="F21" s="48">
        <f t="shared" si="1"/>
        <v>3.9742704697510276</v>
      </c>
      <c r="G21" s="48">
        <f t="shared" si="2"/>
        <v>2.3845622818506165</v>
      </c>
      <c r="H21" s="49">
        <f>[1]Datos!$K$18*Consolidado!G21/100</f>
        <v>6665420.2142054355</v>
      </c>
      <c r="I21" s="46">
        <v>0.39641700000000002</v>
      </c>
      <c r="J21" s="46">
        <f t="shared" si="3"/>
        <v>1.8536605256118004</v>
      </c>
      <c r="K21" s="46">
        <f t="shared" si="4"/>
        <v>0.5560981576835401</v>
      </c>
      <c r="L21" s="50">
        <f>[1]Datos!$K$18*Consolidado!K21/100</f>
        <v>1554426.96108974</v>
      </c>
      <c r="M21" s="51">
        <f t="shared" si="5"/>
        <v>8219847.175295176</v>
      </c>
      <c r="N21" s="46">
        <f t="shared" si="6"/>
        <v>2.9406604395341565</v>
      </c>
      <c r="O21" s="46">
        <f t="shared" si="7"/>
        <v>0.3400596636578736</v>
      </c>
      <c r="P21" s="46">
        <f t="shared" si="8"/>
        <v>5.3359257023412736</v>
      </c>
      <c r="Q21" s="46">
        <f t="shared" si="9"/>
        <v>0.53359257023412743</v>
      </c>
      <c r="R21" s="52">
        <f>Q21*[1]Datos!$K$18/100</f>
        <v>1491518.4773568413</v>
      </c>
      <c r="S21" s="175">
        <f>FGP!U20</f>
        <v>3.5775490353218853</v>
      </c>
      <c r="T21" s="176">
        <f>FGP!T20</f>
        <v>62392322.076125056</v>
      </c>
      <c r="U21" s="177">
        <f>FFM!S21</f>
        <v>2.0076516795706492</v>
      </c>
      <c r="V21" s="178">
        <f>FFM!N21</f>
        <v>0</v>
      </c>
      <c r="W21" s="179">
        <f>FFM!Q21</f>
        <v>21563358.47964989</v>
      </c>
      <c r="X21" s="397">
        <f>FOFIR!I21</f>
        <v>0.11111229395903013</v>
      </c>
      <c r="Y21" s="179">
        <f>FOFIR!K21</f>
        <v>1775941.2369640188</v>
      </c>
      <c r="Z21" s="397">
        <f>'IEPS TyA'!E22</f>
        <v>0.05</v>
      </c>
      <c r="AA21" s="179">
        <f>'IEPS TyA'!G22</f>
        <v>825383.73375000001</v>
      </c>
      <c r="AB21" s="397">
        <f>'IEPS GyD '!F21</f>
        <v>3.3605405615416495</v>
      </c>
      <c r="AC21" s="179">
        <f>'IEPS GyD '!H21</f>
        <v>1909769.6406480279</v>
      </c>
      <c r="AD21" s="401">
        <f>FGP!F20+FGP!L20+FGP!R20</f>
        <v>3.5775490353218853</v>
      </c>
      <c r="AE21" s="350">
        <f>'Incentivo ISAN'!J21</f>
        <v>205018.08113941937</v>
      </c>
      <c r="AF21" s="41">
        <f>FGP!F20+FGP!L20+FGP!R20</f>
        <v>3.5775490353218853</v>
      </c>
      <c r="AG21" s="40">
        <f>'FOCO ISAN'!J21</f>
        <v>88586.397185063164</v>
      </c>
      <c r="AH21" s="42"/>
      <c r="AI21" s="42"/>
      <c r="AJ21" s="42"/>
    </row>
    <row r="22" spans="1:36" ht="27" customHeight="1" x14ac:dyDescent="0.25">
      <c r="A22" s="43" t="s">
        <v>59</v>
      </c>
      <c r="B22" s="44">
        <v>2.13</v>
      </c>
      <c r="C22" s="45">
        <f>[1]Datos!I$13*B22%</f>
        <v>20800046.742929999</v>
      </c>
      <c r="D22" s="46">
        <f t="shared" si="0"/>
        <v>0.69217929563613667</v>
      </c>
      <c r="E22" s="50">
        <v>7510</v>
      </c>
      <c r="F22" s="48">
        <f t="shared" si="1"/>
        <v>0.69217929563613667</v>
      </c>
      <c r="G22" s="48">
        <f t="shared" si="2"/>
        <v>0.415307577381682</v>
      </c>
      <c r="H22" s="49">
        <f>[1]Datos!$K$18*Consolidado!G22/100</f>
        <v>1160883.7154147222</v>
      </c>
      <c r="I22" s="46">
        <v>0.79456599999999999</v>
      </c>
      <c r="J22" s="46">
        <f t="shared" si="3"/>
        <v>3.7154199471598481</v>
      </c>
      <c r="K22" s="46">
        <f t="shared" si="4"/>
        <v>1.1146259841479544</v>
      </c>
      <c r="L22" s="50">
        <f>[1]Datos!$K$18*Consolidado!K22/100</f>
        <v>3115645.4258148116</v>
      </c>
      <c r="M22" s="51">
        <f t="shared" si="5"/>
        <v>4276529.1412295336</v>
      </c>
      <c r="N22" s="46">
        <f t="shared" si="6"/>
        <v>1.5299335615296363</v>
      </c>
      <c r="O22" s="46">
        <f t="shared" si="7"/>
        <v>0.65362315406702642</v>
      </c>
      <c r="P22" s="46">
        <f t="shared" si="8"/>
        <v>10.256096091833161</v>
      </c>
      <c r="Q22" s="46">
        <f t="shared" si="9"/>
        <v>1.0256096091833162</v>
      </c>
      <c r="R22" s="52">
        <f>Q22*[1]Datos!$K$18/100</f>
        <v>2866823.43043203</v>
      </c>
      <c r="S22" s="175">
        <f>FGP!U21</f>
        <v>2.7059321154728599</v>
      </c>
      <c r="T22" s="176">
        <f>FGP!T21</f>
        <v>33350527.257248987</v>
      </c>
      <c r="U22" s="177">
        <f>FFM!S22</f>
        <v>0.44217454000907963</v>
      </c>
      <c r="V22" s="178">
        <f>FFM!N22</f>
        <v>0</v>
      </c>
      <c r="W22" s="179">
        <f>FFM!Q22</f>
        <v>9493676.5622351486</v>
      </c>
      <c r="X22" s="397">
        <f>FOFIR!I22</f>
        <v>8.2424795367772846E-3</v>
      </c>
      <c r="Y22" s="179">
        <f>FOFIR!K22</f>
        <v>333177.95456927945</v>
      </c>
      <c r="Z22" s="397">
        <f>'IEPS TyA'!E23</f>
        <v>0.05</v>
      </c>
      <c r="AA22" s="179">
        <f>'IEPS TyA'!G23</f>
        <v>1579709.7337500001</v>
      </c>
      <c r="AB22" s="397">
        <f>'IEPS GyD '!F22</f>
        <v>0.62187564753418989</v>
      </c>
      <c r="AC22" s="179">
        <f>'IEPS GyD '!H22</f>
        <v>360810.04625039257</v>
      </c>
      <c r="AD22" s="401">
        <f>FGP!F21+FGP!L21+FGP!R21</f>
        <v>2.7059321154728604</v>
      </c>
      <c r="AE22" s="350">
        <f>'Incentivo ISAN'!J22</f>
        <v>155068.45735179738</v>
      </c>
      <c r="AF22" s="41">
        <f>FGP!F21+FGP!L21+FGP!R21</f>
        <v>2.7059321154728604</v>
      </c>
      <c r="AG22" s="40">
        <f>'FOCO ISAN'!J22</f>
        <v>67003.631472385823</v>
      </c>
      <c r="AH22" s="42"/>
      <c r="AI22" s="42"/>
      <c r="AJ22" s="42"/>
    </row>
    <row r="23" spans="1:36" ht="27" customHeight="1" x14ac:dyDescent="0.25">
      <c r="A23" s="43" t="s">
        <v>60</v>
      </c>
      <c r="B23" s="44">
        <v>2.81</v>
      </c>
      <c r="C23" s="45">
        <f>[1]Datos!I$13*B23%</f>
        <v>27440437.252410002</v>
      </c>
      <c r="D23" s="46">
        <f t="shared" si="0"/>
        <v>2.0656621003724496</v>
      </c>
      <c r="E23" s="50">
        <v>22412</v>
      </c>
      <c r="F23" s="48">
        <f t="shared" si="1"/>
        <v>2.0656621003724496</v>
      </c>
      <c r="G23" s="48">
        <f t="shared" si="2"/>
        <v>1.2393972602234697</v>
      </c>
      <c r="H23" s="49">
        <f>[1]Datos!$K$18*Consolidado!G23/100</f>
        <v>3464410.8961218046</v>
      </c>
      <c r="I23" s="46">
        <v>1.099386</v>
      </c>
      <c r="J23" s="46">
        <f t="shared" si="3"/>
        <v>5.1407695194965264</v>
      </c>
      <c r="K23" s="46">
        <f t="shared" si="4"/>
        <v>1.5422308558489579</v>
      </c>
      <c r="L23" s="50">
        <f>[1]Datos!$K$18*Consolidado!K23/100</f>
        <v>4310903.0113355508</v>
      </c>
      <c r="M23" s="51">
        <f t="shared" si="5"/>
        <v>7775313.9074573554</v>
      </c>
      <c r="N23" s="46">
        <f t="shared" si="6"/>
        <v>2.7816281160724277</v>
      </c>
      <c r="O23" s="46">
        <f t="shared" si="7"/>
        <v>0.35950168687968576</v>
      </c>
      <c r="P23" s="46">
        <f t="shared" si="8"/>
        <v>5.6409933198848687</v>
      </c>
      <c r="Q23" s="46">
        <f t="shared" si="9"/>
        <v>0.56409933198848694</v>
      </c>
      <c r="R23" s="52">
        <f>Q23*[1]Datos!$K$18/100</f>
        <v>1576792.1512780979</v>
      </c>
      <c r="S23" s="175">
        <f>FGP!U22</f>
        <v>2.7608668836779993</v>
      </c>
      <c r="T23" s="176">
        <f>FGP!T22</f>
        <v>40245712.679718427</v>
      </c>
      <c r="U23" s="177">
        <f>FFM!S23</f>
        <v>1.1854299859787594</v>
      </c>
      <c r="V23" s="178">
        <f>FFM!N23</f>
        <v>0</v>
      </c>
      <c r="W23" s="179">
        <f>FFM!Q23</f>
        <v>12908496.496375827</v>
      </c>
      <c r="X23" s="397">
        <f>FOFIR!I23</f>
        <v>3.6097150337220503E-2</v>
      </c>
      <c r="Y23" s="179">
        <f>FOFIR!K23</f>
        <v>1016318.6769572323</v>
      </c>
      <c r="Z23" s="397">
        <f>'IEPS TyA'!E24</f>
        <v>0.05</v>
      </c>
      <c r="AA23" s="179">
        <f>'IEPS TyA'!G24</f>
        <v>1245827.7337500001</v>
      </c>
      <c r="AB23" s="397">
        <f>'IEPS GyD '!F23</f>
        <v>2.0163405252797348</v>
      </c>
      <c r="AC23" s="179">
        <f>'IEPS GyD '!H23</f>
        <v>1110877.6623478495</v>
      </c>
      <c r="AD23" s="401">
        <f>FGP!F22+FGP!L22+FGP!R22</f>
        <v>2.7608668836779993</v>
      </c>
      <c r="AE23" s="350">
        <f>'Incentivo ISAN'!J23</f>
        <v>158216.5961065868</v>
      </c>
      <c r="AF23" s="41">
        <f>FGP!F22+FGP!L22+FGP!R22</f>
        <v>2.7608668836779993</v>
      </c>
      <c r="AG23" s="40">
        <f>'FOCO ISAN'!J23</f>
        <v>68363.91281233172</v>
      </c>
      <c r="AH23" s="42"/>
      <c r="AI23" s="42"/>
      <c r="AJ23" s="42"/>
    </row>
    <row r="24" spans="1:36" ht="27" customHeight="1" x14ac:dyDescent="0.25">
      <c r="A24" s="43" t="s">
        <v>61</v>
      </c>
      <c r="B24" s="44">
        <v>8.34</v>
      </c>
      <c r="C24" s="45">
        <f>[1]Datos!I$13*B24%</f>
        <v>81442436.542740002</v>
      </c>
      <c r="D24" s="46">
        <f t="shared" si="0"/>
        <v>8.5784148817626882</v>
      </c>
      <c r="E24" s="50">
        <v>93074</v>
      </c>
      <c r="F24" s="48">
        <f t="shared" si="1"/>
        <v>8.5784148817626882</v>
      </c>
      <c r="G24" s="48">
        <f t="shared" si="2"/>
        <v>5.1470489290576129</v>
      </c>
      <c r="H24" s="49">
        <f>[1]Datos!$K$18*Consolidado!G24/100</f>
        <v>14387229.15159918</v>
      </c>
      <c r="I24" s="46">
        <v>0.94212600000000002</v>
      </c>
      <c r="J24" s="46">
        <f t="shared" si="3"/>
        <v>4.4054159542919269</v>
      </c>
      <c r="K24" s="46">
        <f t="shared" si="4"/>
        <v>1.3216247862875781</v>
      </c>
      <c r="L24" s="50">
        <f>[1]Datos!$K$18*Consolidado!K24/100</f>
        <v>3694256.4399196613</v>
      </c>
      <c r="M24" s="51">
        <f t="shared" si="5"/>
        <v>18081485.591518842</v>
      </c>
      <c r="N24" s="46">
        <f t="shared" si="6"/>
        <v>6.468673715345191</v>
      </c>
      <c r="O24" s="46">
        <f t="shared" si="7"/>
        <v>0.1545911950432387</v>
      </c>
      <c r="P24" s="46">
        <f t="shared" si="8"/>
        <v>2.4257129531739197</v>
      </c>
      <c r="Q24" s="46">
        <f t="shared" si="9"/>
        <v>0.24257129531739197</v>
      </c>
      <c r="R24" s="52">
        <f>Q24*[1]Datos!$K$18/100</f>
        <v>678044.61535797687</v>
      </c>
      <c r="S24" s="175">
        <f>FGP!U23</f>
        <v>6.3582422540279442</v>
      </c>
      <c r="T24" s="176">
        <f>FGP!T23</f>
        <v>110932827.32460651</v>
      </c>
      <c r="U24" s="177">
        <f>FFM!S24</f>
        <v>4.9248857777688082</v>
      </c>
      <c r="V24" s="178">
        <f>FFM!N24</f>
        <v>55.504235493022627</v>
      </c>
      <c r="W24" s="179">
        <f>FFM!Q24</f>
        <v>54379198.891306035</v>
      </c>
      <c r="X24" s="397">
        <f>FOFIR!I24</f>
        <v>0.86152712686166921</v>
      </c>
      <c r="Y24" s="179">
        <f>FOFIR!K24</f>
        <v>4184089.2394939992</v>
      </c>
      <c r="Z24" s="397">
        <f>'IEPS TyA'!E25</f>
        <v>0.05</v>
      </c>
      <c r="AA24" s="179">
        <f>'IEPS TyA'!G25</f>
        <v>549209.73375000001</v>
      </c>
      <c r="AB24" s="397">
        <f>'IEPS GyD '!F24</f>
        <v>7.6069888365105687</v>
      </c>
      <c r="AC24" s="179">
        <f>'IEPS GyD '!H24</f>
        <v>4299164.0643737009</v>
      </c>
      <c r="AD24" s="401">
        <f>FGP!F23+FGP!L23+FGP!R23</f>
        <v>6.3582422540279451</v>
      </c>
      <c r="AE24" s="350">
        <f>'Incentivo ISAN'!J24</f>
        <v>364370.86213777086</v>
      </c>
      <c r="AF24" s="41">
        <f>FGP!F23+FGP!L23+FGP!R23</f>
        <v>6.3582422540279451</v>
      </c>
      <c r="AG24" s="40">
        <f>'FOCO ISAN'!J24</f>
        <v>157441.24487269056</v>
      </c>
      <c r="AH24" s="42"/>
      <c r="AI24" s="42"/>
      <c r="AJ24" s="42"/>
    </row>
    <row r="25" spans="1:36" ht="27" customHeight="1" x14ac:dyDescent="0.25">
      <c r="A25" s="43" t="s">
        <v>62</v>
      </c>
      <c r="B25" s="44">
        <v>3.5</v>
      </c>
      <c r="C25" s="45">
        <f>[1]Datos!I$13*B25%</f>
        <v>34178480.563500002</v>
      </c>
      <c r="D25" s="46">
        <f t="shared" si="0"/>
        <v>3.6642183857936419</v>
      </c>
      <c r="E25" s="50">
        <v>39756</v>
      </c>
      <c r="F25" s="48">
        <f t="shared" si="1"/>
        <v>3.6642183857936419</v>
      </c>
      <c r="G25" s="48">
        <f t="shared" si="2"/>
        <v>2.1985310314761852</v>
      </c>
      <c r="H25" s="49">
        <f>[1]Datos!$K$18*Consolidado!G25/100</f>
        <v>6145418.5073272558</v>
      </c>
      <c r="I25" s="46">
        <v>2.345564</v>
      </c>
      <c r="J25" s="46">
        <f t="shared" si="3"/>
        <v>10.967943849774647</v>
      </c>
      <c r="K25" s="46">
        <f t="shared" si="4"/>
        <v>3.2903831549323939</v>
      </c>
      <c r="L25" s="50">
        <f>[1]Datos!$K$18*Consolidado!K25/100</f>
        <v>9197405.5617228691</v>
      </c>
      <c r="M25" s="51">
        <f t="shared" si="5"/>
        <v>15342824.069050126</v>
      </c>
      <c r="N25" s="46">
        <f t="shared" si="6"/>
        <v>5.4889141864085786</v>
      </c>
      <c r="O25" s="46">
        <f t="shared" si="7"/>
        <v>0.18218539515085852</v>
      </c>
      <c r="P25" s="46">
        <f t="shared" si="8"/>
        <v>2.8586975653622453</v>
      </c>
      <c r="Q25" s="46">
        <f t="shared" si="9"/>
        <v>0.28586975653622454</v>
      </c>
      <c r="R25" s="52">
        <f>Q25*[1]Datos!$K$18/100</f>
        <v>799074.13966464216</v>
      </c>
      <c r="S25" s="175">
        <f>FGP!U24</f>
        <v>3.8167955341115505</v>
      </c>
      <c r="T25" s="176">
        <f>FGP!T24</f>
        <v>51881296.426504672</v>
      </c>
      <c r="U25" s="177">
        <f>FFM!S25</f>
        <v>1.8097911031646545</v>
      </c>
      <c r="V25" s="178">
        <f>FFM!N25</f>
        <v>0</v>
      </c>
      <c r="W25" s="179">
        <f>FFM!Q25</f>
        <v>16290740.738446429</v>
      </c>
      <c r="X25" s="397">
        <f>FOFIR!I25</f>
        <v>9.3166264875291255E-2</v>
      </c>
      <c r="Y25" s="179">
        <f>FOFIR!K25</f>
        <v>1757096.7430767827</v>
      </c>
      <c r="Z25" s="397">
        <f>'IEPS TyA'!E26</f>
        <v>0.05</v>
      </c>
      <c r="AA25" s="179">
        <f>'IEPS TyA'!G26</f>
        <v>1039727.73375</v>
      </c>
      <c r="AB25" s="397">
        <f>'IEPS GyD '!F25</f>
        <v>3.0057727673021133</v>
      </c>
      <c r="AC25" s="179">
        <f>'IEPS GyD '!H25</f>
        <v>1858595.8184411465</v>
      </c>
      <c r="AD25" s="401">
        <f>FGP!F24+FGP!L24+FGP!R24</f>
        <v>3.8167955341115505</v>
      </c>
      <c r="AE25" s="350">
        <f>'Incentivo ISAN'!J25</f>
        <v>218728.54537538151</v>
      </c>
      <c r="AF25" s="41">
        <f>FGP!F24+FGP!L24+FGP!R24</f>
        <v>3.8167955341115505</v>
      </c>
      <c r="AG25" s="40">
        <f>'FOCO ISAN'!J25</f>
        <v>94510.56067175878</v>
      </c>
      <c r="AH25" s="42"/>
      <c r="AI25" s="42"/>
      <c r="AJ25" s="42"/>
    </row>
    <row r="26" spans="1:36" ht="27" customHeight="1" x14ac:dyDescent="0.25">
      <c r="A26" s="43" t="s">
        <v>63</v>
      </c>
      <c r="B26" s="44">
        <v>39</v>
      </c>
      <c r="C26" s="45">
        <f>[1]Datos!I$13*B26%</f>
        <v>380845926.27900004</v>
      </c>
      <c r="D26" s="46">
        <f t="shared" si="0"/>
        <v>35.046669106037996</v>
      </c>
      <c r="E26" s="50">
        <v>380249</v>
      </c>
      <c r="F26" s="48">
        <f t="shared" si="1"/>
        <v>35.046669106037996</v>
      </c>
      <c r="G26" s="48">
        <f t="shared" si="2"/>
        <v>21.028001463622797</v>
      </c>
      <c r="H26" s="49">
        <f>[1]Datos!$K$18*Consolidado!G26/100</f>
        <v>58778278.548965737</v>
      </c>
      <c r="I26" s="46">
        <v>0.84406499999999995</v>
      </c>
      <c r="J26" s="46">
        <f t="shared" si="3"/>
        <v>3.9468790984002302</v>
      </c>
      <c r="K26" s="46">
        <f t="shared" si="4"/>
        <v>1.1840637295200691</v>
      </c>
      <c r="L26" s="50">
        <f>[1]Datos!$K$18*Consolidado!K26/100</f>
        <v>3309740.482653901</v>
      </c>
      <c r="M26" s="51">
        <f t="shared" si="5"/>
        <v>62088019.031619638</v>
      </c>
      <c r="N26" s="46">
        <f t="shared" si="6"/>
        <v>22.212065193142866</v>
      </c>
      <c r="O26" s="46">
        <f t="shared" si="7"/>
        <v>4.5020577389116981E-2</v>
      </c>
      <c r="P26" s="46">
        <f t="shared" si="8"/>
        <v>0.7064244357617202</v>
      </c>
      <c r="Q26" s="46">
        <f t="shared" si="9"/>
        <v>7.0642443576172026E-2</v>
      </c>
      <c r="R26" s="52">
        <f>Q26*[1]Datos!$K$18/100</f>
        <v>197462.47559869001</v>
      </c>
      <c r="S26" s="175">
        <f>FGP!U25</f>
        <v>22.390571163586038</v>
      </c>
      <c r="T26" s="176">
        <f>FGP!T25</f>
        <v>484696435.12443435</v>
      </c>
      <c r="U26" s="177">
        <f>FFM!S26</f>
        <v>35.372202853149702</v>
      </c>
      <c r="V26" s="178">
        <f>FFM!N26</f>
        <v>0</v>
      </c>
      <c r="W26" s="179">
        <f>FFM!Q26</f>
        <v>191222765.52796912</v>
      </c>
      <c r="X26" s="397">
        <f>FOFIR!I26</f>
        <v>63.141328948508402</v>
      </c>
      <c r="Y26" s="179">
        <f>FOFIR!K26</f>
        <v>35388621.152775481</v>
      </c>
      <c r="Z26" s="397">
        <f>'IEPS TyA'!E27</f>
        <v>0.05</v>
      </c>
      <c r="AA26" s="179">
        <f>'IEPS TyA'!G27</f>
        <v>275096.73375000001</v>
      </c>
      <c r="AB26" s="397">
        <f>'IEPS GyD '!F26</f>
        <v>34.475044032324909</v>
      </c>
      <c r="AC26" s="179">
        <f>'IEPS GyD '!H26</f>
        <v>17608522.765729818</v>
      </c>
      <c r="AD26" s="401">
        <f>FGP!F25+FGP!L25+FGP!R25</f>
        <v>22.390571163586038</v>
      </c>
      <c r="AE26" s="350">
        <f>'Incentivo ISAN'!J26</f>
        <v>1283133.1982458781</v>
      </c>
      <c r="AF26" s="41">
        <f>FGP!F25+FGP!L25+FGP!R25</f>
        <v>22.390571163586038</v>
      </c>
      <c r="AG26" s="40">
        <f>'FOCO ISAN'!J26</f>
        <v>554429.86545099644</v>
      </c>
      <c r="AH26" s="42"/>
      <c r="AI26" s="42"/>
      <c r="AJ26" s="42"/>
    </row>
    <row r="27" spans="1:36" ht="27" customHeight="1" x14ac:dyDescent="0.25">
      <c r="A27" s="43" t="s">
        <v>64</v>
      </c>
      <c r="B27" s="44">
        <v>3.79</v>
      </c>
      <c r="C27" s="45">
        <f>[1]Datos!I$13*B27%</f>
        <v>37010411.810190007</v>
      </c>
      <c r="D27" s="46">
        <f t="shared" si="0"/>
        <v>2.7677955057194654</v>
      </c>
      <c r="E27" s="50">
        <v>30030</v>
      </c>
      <c r="F27" s="48">
        <f t="shared" si="1"/>
        <v>2.7677955057194654</v>
      </c>
      <c r="G27" s="48">
        <f t="shared" si="2"/>
        <v>1.6606773034316793</v>
      </c>
      <c r="H27" s="49">
        <f>[1]Datos!$K$18*Consolidado!G27/100</f>
        <v>4641989.0777502144</v>
      </c>
      <c r="I27" s="46">
        <v>0.97075900000000004</v>
      </c>
      <c r="J27" s="46">
        <f t="shared" si="3"/>
        <v>4.5393049192703279</v>
      </c>
      <c r="K27" s="46">
        <f t="shared" si="4"/>
        <v>1.3617914757810983</v>
      </c>
      <c r="L27" s="50">
        <f>[1]Datos!$K$18*Consolidado!K27/100</f>
        <v>3806531.9154337854</v>
      </c>
      <c r="M27" s="51">
        <f t="shared" si="5"/>
        <v>8448520.9931840003</v>
      </c>
      <c r="N27" s="46">
        <f t="shared" si="6"/>
        <v>3.0224687792127778</v>
      </c>
      <c r="O27" s="46">
        <f t="shared" si="7"/>
        <v>0.33085536131177395</v>
      </c>
      <c r="P27" s="46">
        <f t="shared" si="8"/>
        <v>5.1914996538873615</v>
      </c>
      <c r="Q27" s="46">
        <f t="shared" si="9"/>
        <v>0.51914996538873615</v>
      </c>
      <c r="R27" s="52">
        <f>Q27*[1]Datos!$K$18/100</f>
        <v>1451147.9527473762</v>
      </c>
      <c r="S27" s="175">
        <f>FGP!U26</f>
        <v>3.6049459132695008</v>
      </c>
      <c r="T27" s="176">
        <f>FGP!T26</f>
        <v>53730640.370601013</v>
      </c>
      <c r="U27" s="177">
        <f>FFM!S27</f>
        <v>1.4125778089406531</v>
      </c>
      <c r="V27" s="178">
        <f>FFM!N27</f>
        <v>21.448301338228312</v>
      </c>
      <c r="W27" s="179">
        <f>FFM!Q27</f>
        <v>23153737.582922384</v>
      </c>
      <c r="X27" s="397">
        <f>FOFIR!I27</f>
        <v>4.8135619624637679E-2</v>
      </c>
      <c r="Y27" s="179">
        <f>FOFIR!K27</f>
        <v>1337461.6653416026</v>
      </c>
      <c r="Z27" s="397">
        <f>'IEPS TyA'!E28</f>
        <v>0.05</v>
      </c>
      <c r="AA27" s="179">
        <f>'IEPS TyA'!G28</f>
        <v>975836.73375000001</v>
      </c>
      <c r="AB27" s="397">
        <f>'IEPS GyD '!F27</f>
        <v>2.4334334852880231</v>
      </c>
      <c r="AC27" s="179">
        <f>'IEPS GyD '!H27</f>
        <v>1437218.3018315504</v>
      </c>
      <c r="AD27" s="401">
        <f>FGP!F26+FGP!L26+FGP!R26</f>
        <v>3.6049459132695008</v>
      </c>
      <c r="AE27" s="350">
        <f>'Incentivo ISAN'!J27</f>
        <v>206588.11003086838</v>
      </c>
      <c r="AF27" s="41">
        <f>FGP!F26+FGP!L26+FGP!R26</f>
        <v>3.6049459132695008</v>
      </c>
      <c r="AG27" s="40">
        <f>'FOCO ISAN'!J27</f>
        <v>89264.791998813016</v>
      </c>
      <c r="AH27" s="42"/>
      <c r="AI27" s="42"/>
      <c r="AJ27" s="42"/>
    </row>
    <row r="28" spans="1:36" ht="27" customHeight="1" thickBot="1" x14ac:dyDescent="0.3">
      <c r="A28" s="53" t="s">
        <v>65</v>
      </c>
      <c r="B28" s="54">
        <v>3.1</v>
      </c>
      <c r="C28" s="55">
        <f>[1]Datos!I$13*B28%</f>
        <v>30272368.4991</v>
      </c>
      <c r="D28" s="56">
        <f t="shared" si="0"/>
        <v>4.5256175465147246</v>
      </c>
      <c r="E28" s="57">
        <v>49102</v>
      </c>
      <c r="F28" s="58">
        <f t="shared" si="1"/>
        <v>4.5256175465147246</v>
      </c>
      <c r="G28" s="58">
        <f t="shared" si="2"/>
        <v>2.7153705279088345</v>
      </c>
      <c r="H28" s="59">
        <f>[1]Datos!$K$18*Consolidado!G28/100</f>
        <v>7590108.1483746581</v>
      </c>
      <c r="I28" s="56">
        <v>1.0003390000000001</v>
      </c>
      <c r="J28" s="56">
        <f t="shared" si="3"/>
        <v>4.6776220912069428</v>
      </c>
      <c r="K28" s="56">
        <f t="shared" si="4"/>
        <v>1.4032866273620828</v>
      </c>
      <c r="L28" s="57">
        <f>[1]Datos!$K$18*Consolidado!K28/100</f>
        <v>3922520.7592750802</v>
      </c>
      <c r="M28" s="60">
        <f t="shared" si="5"/>
        <v>11512628.907649739</v>
      </c>
      <c r="N28" s="56">
        <f t="shared" si="6"/>
        <v>4.1186571552709168</v>
      </c>
      <c r="O28" s="56">
        <f t="shared" si="7"/>
        <v>0.24279758239168661</v>
      </c>
      <c r="P28" s="56">
        <f t="shared" si="8"/>
        <v>3.80977222177561</v>
      </c>
      <c r="Q28" s="56">
        <f t="shared" si="9"/>
        <v>0.38097722217756103</v>
      </c>
      <c r="R28" s="61">
        <f>Q28*[1]Datos!$K$18/100</f>
        <v>1064922.1860053025</v>
      </c>
      <c r="S28" s="175">
        <f>FGP!U27</f>
        <v>5.1742707063312778</v>
      </c>
      <c r="T28" s="176">
        <f>FGP!T27</f>
        <v>54271338.504404105</v>
      </c>
      <c r="U28" s="177">
        <f>FFM!S28</f>
        <v>5.5112581027046739</v>
      </c>
      <c r="V28" s="178">
        <f>FFM!N28</f>
        <v>0</v>
      </c>
      <c r="W28" s="179">
        <f>FFM!Q28</f>
        <v>16921400.738448936</v>
      </c>
      <c r="X28" s="398">
        <f>FOFIR!I28</f>
        <v>1.5310997225350518</v>
      </c>
      <c r="Y28" s="399">
        <f>FOFIR!K28</f>
        <v>2471929.8507560045</v>
      </c>
      <c r="Z28" s="398">
        <f>'IEPS TyA'!E29</f>
        <v>0.05</v>
      </c>
      <c r="AA28" s="179">
        <f>'IEPS TyA'!G29</f>
        <v>1146894.7337500001</v>
      </c>
      <c r="AB28" s="398">
        <f>'IEPS GyD '!F28</f>
        <v>5.2797509583506006</v>
      </c>
      <c r="AC28" s="399">
        <f>'IEPS GyD '!H28</f>
        <v>2345096.9737982368</v>
      </c>
      <c r="AD28" s="402">
        <f>FGP!F27+FGP!L27+FGP!R27</f>
        <v>5.1742707063312787</v>
      </c>
      <c r="AE28" s="350">
        <f>'Incentivo ISAN'!J28</f>
        <v>296521.17721777112</v>
      </c>
      <c r="AF28" s="41">
        <f>FGP!F27+FGP!L27+FGP!R27</f>
        <v>5.1742707063312787</v>
      </c>
      <c r="AG28" s="40">
        <f>'FOCO ISAN'!J28</f>
        <v>128124.03000169045</v>
      </c>
      <c r="AH28" s="42"/>
      <c r="AI28" s="42"/>
      <c r="AJ28" s="42"/>
    </row>
    <row r="29" spans="1:36" ht="15.75" thickBot="1" x14ac:dyDescent="0.3">
      <c r="A29" s="62" t="s">
        <v>66</v>
      </c>
      <c r="B29" s="63">
        <f>SUM(B9:B28)</f>
        <v>100</v>
      </c>
      <c r="C29" s="64">
        <f>SUM(C9:C28)</f>
        <v>976528016.0999999</v>
      </c>
      <c r="D29" s="65">
        <f>SUM(D9:D28)</f>
        <v>99.999999999999986</v>
      </c>
      <c r="E29" s="66">
        <f>SUM(E9:E28)</f>
        <v>1084979</v>
      </c>
      <c r="F29" s="67">
        <f t="shared" si="1"/>
        <v>99.999999999999986</v>
      </c>
      <c r="G29" s="67">
        <f t="shared" ref="G29:L29" si="10">SUM(G9:G28)</f>
        <v>59.999999999999993</v>
      </c>
      <c r="H29" s="68">
        <f t="shared" si="10"/>
        <v>167714307.94499996</v>
      </c>
      <c r="I29" s="69">
        <f t="shared" si="10"/>
        <v>21.385630999999997</v>
      </c>
      <c r="J29" s="70">
        <f t="shared" si="10"/>
        <v>100.00000000000001</v>
      </c>
      <c r="K29" s="70">
        <f t="shared" si="10"/>
        <v>29.999999999999996</v>
      </c>
      <c r="L29" s="71">
        <f t="shared" si="10"/>
        <v>83857153.972500011</v>
      </c>
      <c r="M29" s="72">
        <f t="shared" si="5"/>
        <v>251571461.91749996</v>
      </c>
      <c r="N29" s="70">
        <f t="shared" ref="N29:T29" si="11">SUM(N9:N28)</f>
        <v>90</v>
      </c>
      <c r="O29" s="70">
        <f t="shared" si="11"/>
        <v>6.3730209644535289</v>
      </c>
      <c r="P29" s="70">
        <f t="shared" si="11"/>
        <v>100</v>
      </c>
      <c r="Q29" s="69">
        <f t="shared" si="11"/>
        <v>10.000000000000002</v>
      </c>
      <c r="R29" s="73">
        <f t="shared" si="11"/>
        <v>27952384.657499999</v>
      </c>
      <c r="S29" s="180">
        <f>SUM(S9:S28)</f>
        <v>100</v>
      </c>
      <c r="T29" s="181">
        <f t="shared" si="11"/>
        <v>1440341592.3</v>
      </c>
      <c r="U29" s="182">
        <v>100</v>
      </c>
      <c r="V29" s="183">
        <v>100</v>
      </c>
      <c r="W29" s="184">
        <f>SUM(W9:W28)</f>
        <v>523578509.99999994</v>
      </c>
      <c r="X29" s="185">
        <v>100</v>
      </c>
      <c r="Y29" s="186">
        <f t="shared" ref="Y29:AC29" si="12">SUM(Y9:Y28)</f>
        <v>75399191.100000009</v>
      </c>
      <c r="Z29" s="187">
        <v>100</v>
      </c>
      <c r="AA29" s="184">
        <f>SUM(AA9:AA28)+5</f>
        <v>24586794.675000008</v>
      </c>
      <c r="AB29" s="185">
        <v>99.999999999999986</v>
      </c>
      <c r="AC29" s="184">
        <f t="shared" si="12"/>
        <v>50010632.774999991</v>
      </c>
      <c r="AD29" s="185">
        <f>SUM(AD9:AD28)</f>
        <v>100</v>
      </c>
      <c r="AE29" s="184">
        <f>SUM(AE9:AE28)</f>
        <v>5730685.4249999998</v>
      </c>
      <c r="AF29" s="75">
        <f>SUM(AF9:AF28)</f>
        <v>100</v>
      </c>
      <c r="AG29" s="74">
        <f>SUM(AG9:AG28)</f>
        <v>2476175.625</v>
      </c>
    </row>
    <row r="30" spans="1:36" x14ac:dyDescent="0.25">
      <c r="A30" s="9"/>
      <c r="B30" s="76"/>
      <c r="C30" s="9"/>
      <c r="D30" s="9"/>
      <c r="E30" s="9"/>
      <c r="F30" s="9"/>
      <c r="G30" s="9"/>
      <c r="H30" s="77"/>
    </row>
    <row r="31" spans="1:36" x14ac:dyDescent="0.25">
      <c r="A31" s="9"/>
      <c r="B31" s="9"/>
      <c r="C31" s="9"/>
      <c r="D31" s="9"/>
      <c r="E31" s="9"/>
      <c r="F31" s="9"/>
      <c r="G31" s="9"/>
      <c r="H31" s="77"/>
      <c r="T31" s="78"/>
      <c r="U31" s="78"/>
      <c r="V31" s="78"/>
    </row>
    <row r="34" spans="24:28" x14ac:dyDescent="0.25">
      <c r="X34" t="s">
        <v>408</v>
      </c>
      <c r="AA34" s="217"/>
      <c r="AB34" s="217"/>
    </row>
    <row r="35" spans="24:28" x14ac:dyDescent="0.25">
      <c r="AA35" s="217"/>
      <c r="AB35" s="217"/>
    </row>
    <row r="36" spans="24:28" x14ac:dyDescent="0.25">
      <c r="AA36" s="217"/>
      <c r="AB36" s="217"/>
    </row>
    <row r="37" spans="24:28" x14ac:dyDescent="0.25">
      <c r="AA37" s="217"/>
      <c r="AB37" s="217"/>
    </row>
    <row r="38" spans="24:28" x14ac:dyDescent="0.25">
      <c r="AA38" s="217"/>
      <c r="AB38" s="217"/>
    </row>
    <row r="39" spans="24:28" x14ac:dyDescent="0.25">
      <c r="AA39" s="217"/>
      <c r="AB39" s="217"/>
    </row>
    <row r="40" spans="24:28" x14ac:dyDescent="0.25">
      <c r="AA40" s="217"/>
      <c r="AB40" s="217"/>
    </row>
    <row r="41" spans="24:28" x14ac:dyDescent="0.25">
      <c r="AA41" s="217"/>
      <c r="AB41" s="217"/>
    </row>
    <row r="42" spans="24:28" x14ac:dyDescent="0.25">
      <c r="AA42" s="217"/>
      <c r="AB42" s="217"/>
    </row>
    <row r="43" spans="24:28" x14ac:dyDescent="0.25">
      <c r="AA43" s="217"/>
      <c r="AB43" s="217"/>
    </row>
    <row r="44" spans="24:28" x14ac:dyDescent="0.25">
      <c r="AA44" s="217"/>
      <c r="AB44" s="217"/>
    </row>
    <row r="45" spans="24:28" x14ac:dyDescent="0.25">
      <c r="AA45" s="217"/>
      <c r="AB45" s="217"/>
    </row>
    <row r="46" spans="24:28" x14ac:dyDescent="0.25">
      <c r="AA46" s="217"/>
      <c r="AB46" s="217"/>
    </row>
    <row r="47" spans="24:28" x14ac:dyDescent="0.25">
      <c r="AA47" s="217"/>
      <c r="AB47" s="217"/>
    </row>
    <row r="48" spans="24:28" x14ac:dyDescent="0.25">
      <c r="AA48" s="217"/>
      <c r="AB48" s="217"/>
    </row>
    <row r="49" spans="27:28" x14ac:dyDescent="0.25">
      <c r="AA49" s="217"/>
      <c r="AB49" s="217"/>
    </row>
    <row r="50" spans="27:28" x14ac:dyDescent="0.25">
      <c r="AA50" s="217"/>
      <c r="AB50" s="217"/>
    </row>
    <row r="51" spans="27:28" x14ac:dyDescent="0.25">
      <c r="AA51" s="217"/>
      <c r="AB51" s="217"/>
    </row>
    <row r="52" spans="27:28" x14ac:dyDescent="0.25">
      <c r="AA52" s="217"/>
      <c r="AB52" s="217"/>
    </row>
    <row r="53" spans="27:28" x14ac:dyDescent="0.25">
      <c r="AA53" s="217"/>
      <c r="AB53" s="217"/>
    </row>
    <row r="54" spans="27:28" x14ac:dyDescent="0.25">
      <c r="AA54" s="217"/>
      <c r="AB54" s="217"/>
    </row>
    <row r="55" spans="27:28" x14ac:dyDescent="0.25">
      <c r="AA55" s="217"/>
    </row>
    <row r="56" spans="27:28" x14ac:dyDescent="0.25">
      <c r="AA56" s="217"/>
    </row>
    <row r="57" spans="27:28" x14ac:dyDescent="0.25">
      <c r="AA57" s="217"/>
    </row>
    <row r="58" spans="27:28" x14ac:dyDescent="0.25">
      <c r="AA58" s="217"/>
    </row>
    <row r="59" spans="27:28" x14ac:dyDescent="0.25">
      <c r="AA59" s="217"/>
    </row>
    <row r="60" spans="27:28" x14ac:dyDescent="0.25">
      <c r="AA60" s="217"/>
    </row>
    <row r="61" spans="27:28" x14ac:dyDescent="0.25">
      <c r="AA61" s="217"/>
    </row>
    <row r="62" spans="27:28" x14ac:dyDescent="0.25">
      <c r="AA62" s="217"/>
    </row>
    <row r="63" spans="27:28" x14ac:dyDescent="0.25">
      <c r="AA63" s="217"/>
    </row>
    <row r="64" spans="27:28" x14ac:dyDescent="0.25">
      <c r="AA64" s="217"/>
    </row>
    <row r="65" spans="27:27" x14ac:dyDescent="0.25">
      <c r="AA65" s="217"/>
    </row>
    <row r="66" spans="27:27" x14ac:dyDescent="0.25">
      <c r="AA66" s="217"/>
    </row>
    <row r="67" spans="27:27" x14ac:dyDescent="0.25">
      <c r="AA67" s="217"/>
    </row>
    <row r="68" spans="27:27" x14ac:dyDescent="0.25">
      <c r="AA68" s="217"/>
    </row>
    <row r="69" spans="27:27" x14ac:dyDescent="0.25">
      <c r="AA69" s="217"/>
    </row>
    <row r="70" spans="27:27" x14ac:dyDescent="0.25">
      <c r="AA70" s="217"/>
    </row>
    <row r="71" spans="27:27" x14ac:dyDescent="0.25">
      <c r="AA71" s="217"/>
    </row>
    <row r="72" spans="27:27" x14ac:dyDescent="0.25">
      <c r="AA72" s="217"/>
    </row>
    <row r="73" spans="27:27" x14ac:dyDescent="0.25">
      <c r="AA73" s="217"/>
    </row>
    <row r="74" spans="27:27" x14ac:dyDescent="0.25">
      <c r="AA74" s="217"/>
    </row>
    <row r="75" spans="27:27" x14ac:dyDescent="0.25">
      <c r="AA75" s="217"/>
    </row>
    <row r="76" spans="27:27" x14ac:dyDescent="0.25">
      <c r="AA76" s="217"/>
    </row>
    <row r="77" spans="27:27" x14ac:dyDescent="0.25">
      <c r="AA77" s="217"/>
    </row>
    <row r="78" spans="27:27" x14ac:dyDescent="0.25">
      <c r="AA78" s="217"/>
    </row>
    <row r="79" spans="27:27" x14ac:dyDescent="0.25">
      <c r="AA79" s="217"/>
    </row>
    <row r="80" spans="27:27" x14ac:dyDescent="0.25">
      <c r="AA80" s="217"/>
    </row>
    <row r="81" spans="27:27" x14ac:dyDescent="0.25">
      <c r="AA81" s="217"/>
    </row>
    <row r="82" spans="27:27" x14ac:dyDescent="0.25">
      <c r="AA82" s="217"/>
    </row>
    <row r="83" spans="27:27" x14ac:dyDescent="0.25">
      <c r="AA83" s="217"/>
    </row>
    <row r="84" spans="27:27" x14ac:dyDescent="0.25">
      <c r="AA84" s="217"/>
    </row>
    <row r="85" spans="27:27" x14ac:dyDescent="0.25">
      <c r="AA85" s="217"/>
    </row>
    <row r="86" spans="27:27" x14ac:dyDescent="0.25">
      <c r="AA86" s="217"/>
    </row>
    <row r="87" spans="27:27" x14ac:dyDescent="0.25">
      <c r="AA87" s="217"/>
    </row>
  </sheetData>
  <mergeCells count="37">
    <mergeCell ref="W5:W7"/>
    <mergeCell ref="Y5:Y7"/>
    <mergeCell ref="S5:S8"/>
    <mergeCell ref="U5:U8"/>
    <mergeCell ref="T5:T7"/>
    <mergeCell ref="A1:AG1"/>
    <mergeCell ref="AF4:AG4"/>
    <mergeCell ref="B5:B7"/>
    <mergeCell ref="E5:H5"/>
    <mergeCell ref="I5:L5"/>
    <mergeCell ref="M5:M8"/>
    <mergeCell ref="AA5:AA7"/>
    <mergeCell ref="AC5:AC7"/>
    <mergeCell ref="AG5:AG7"/>
    <mergeCell ref="D6:E6"/>
    <mergeCell ref="I6:I7"/>
    <mergeCell ref="J6:J7"/>
    <mergeCell ref="L6:L7"/>
    <mergeCell ref="N6:N8"/>
    <mergeCell ref="D7:E7"/>
    <mergeCell ref="N5:R5"/>
    <mergeCell ref="A2:AG2"/>
    <mergeCell ref="X5:X8"/>
    <mergeCell ref="Z5:Z8"/>
    <mergeCell ref="AB5:AB8"/>
    <mergeCell ref="AD5:AD8"/>
    <mergeCell ref="AF5:AF8"/>
    <mergeCell ref="AD4:AE4"/>
    <mergeCell ref="AE5:AE7"/>
    <mergeCell ref="A3:T3"/>
    <mergeCell ref="A4:A8"/>
    <mergeCell ref="S4:T4"/>
    <mergeCell ref="U4:W4"/>
    <mergeCell ref="X4:Y4"/>
    <mergeCell ref="Z4:AA4"/>
    <mergeCell ref="AB4:AC4"/>
    <mergeCell ref="V5:V8"/>
  </mergeCells>
  <pageMargins left="0.9055118110236221" right="0.15748031496062992" top="0.74803149606299213" bottom="0.74803149606299213" header="0.31496062992125984" footer="0.31496062992125984"/>
  <pageSetup paperSize="5" scale="54"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Q26"/>
  <sheetViews>
    <sheetView workbookViewId="0">
      <selection activeCell="H35" sqref="H35"/>
    </sheetView>
  </sheetViews>
  <sheetFormatPr baseColWidth="10" defaultRowHeight="12.75" x14ac:dyDescent="0.2"/>
  <cols>
    <col min="1" max="1" width="15.42578125" style="658" customWidth="1"/>
    <col min="2" max="2" width="9.28515625" style="658" hidden="1" customWidth="1"/>
    <col min="3" max="5" width="7.85546875" style="658" bestFit="1" customWidth="1"/>
    <col min="6" max="6" width="8.7109375" style="658" bestFit="1" customWidth="1"/>
    <col min="7" max="8" width="7.85546875" style="658" bestFit="1" customWidth="1"/>
    <col min="9" max="9" width="8.7109375" style="658" bestFit="1" customWidth="1"/>
    <col min="10" max="10" width="7.85546875" style="658" bestFit="1" customWidth="1"/>
    <col min="11" max="11" width="9.7109375" style="658" bestFit="1" customWidth="1"/>
    <col min="12" max="12" width="7.85546875" style="658" bestFit="1" customWidth="1"/>
    <col min="13" max="13" width="9.42578125" style="658" bestFit="1" customWidth="1"/>
    <col min="14" max="14" width="8.42578125" style="658" bestFit="1" customWidth="1"/>
    <col min="15" max="15" width="8.7109375" style="658" bestFit="1" customWidth="1"/>
    <col min="16" max="16384" width="11.42578125" style="658"/>
  </cols>
  <sheetData>
    <row r="1" spans="1:17" x14ac:dyDescent="0.2">
      <c r="A1" s="1020"/>
      <c r="B1" s="1020"/>
      <c r="C1" s="1020"/>
      <c r="D1" s="1020"/>
      <c r="E1" s="1020"/>
      <c r="F1" s="1020"/>
      <c r="G1" s="1020"/>
      <c r="H1" s="1020"/>
      <c r="I1" s="1020"/>
      <c r="J1" s="1020"/>
      <c r="K1" s="1020"/>
      <c r="L1" s="1020"/>
      <c r="M1" s="1020"/>
      <c r="N1" s="1020"/>
      <c r="O1" s="1020"/>
    </row>
    <row r="2" spans="1:17" x14ac:dyDescent="0.2">
      <c r="A2" s="1021" t="s">
        <v>465</v>
      </c>
      <c r="B2" s="1021"/>
      <c r="C2" s="1021"/>
      <c r="D2" s="1021"/>
      <c r="E2" s="1021"/>
      <c r="F2" s="1021"/>
      <c r="G2" s="1021"/>
      <c r="H2" s="1021"/>
      <c r="I2" s="1021"/>
      <c r="J2" s="1021"/>
      <c r="K2" s="1021"/>
      <c r="L2" s="1021"/>
      <c r="M2" s="1021"/>
      <c r="N2" s="1021"/>
      <c r="O2" s="1021"/>
    </row>
    <row r="3" spans="1:17" ht="13.5" thickBot="1" x14ac:dyDescent="0.25"/>
    <row r="4" spans="1:17" ht="23.25" thickBot="1" x14ac:dyDescent="0.25">
      <c r="A4" s="659" t="s">
        <v>351</v>
      </c>
      <c r="B4" s="660" t="s">
        <v>283</v>
      </c>
      <c r="C4" s="659" t="s">
        <v>1</v>
      </c>
      <c r="D4" s="661" t="s">
        <v>2</v>
      </c>
      <c r="E4" s="659" t="s">
        <v>3</v>
      </c>
      <c r="F4" s="661" t="s">
        <v>4</v>
      </c>
      <c r="G4" s="659" t="s">
        <v>5</v>
      </c>
      <c r="H4" s="659" t="s">
        <v>6</v>
      </c>
      <c r="I4" s="659" t="s">
        <v>7</v>
      </c>
      <c r="J4" s="661" t="s">
        <v>8</v>
      </c>
      <c r="K4" s="659" t="s">
        <v>9</v>
      </c>
      <c r="L4" s="661" t="s">
        <v>10</v>
      </c>
      <c r="M4" s="659" t="s">
        <v>11</v>
      </c>
      <c r="N4" s="659" t="s">
        <v>12</v>
      </c>
      <c r="O4" s="662" t="s">
        <v>169</v>
      </c>
    </row>
    <row r="5" spans="1:17" x14ac:dyDescent="0.2">
      <c r="A5" s="663" t="s">
        <v>284</v>
      </c>
      <c r="B5" s="674"/>
      <c r="C5" s="665">
        <f>'FOFIR  INCREMENTO'!C7+'FOFIR ESTIMACIONES'!C7</f>
        <v>162216.69564929654</v>
      </c>
      <c r="D5" s="665">
        <f>'FOFIR  INCREMENTO'!D7+'FOFIR ESTIMACIONES'!D7</f>
        <v>121257.92589507153</v>
      </c>
      <c r="E5" s="665">
        <f>'FOFIR  INCREMENTO'!E7+'FOFIR ESTIMACIONES'!E7</f>
        <v>121257.92589507153</v>
      </c>
      <c r="F5" s="665">
        <f>'FOFIR  INCREMENTO'!F7+'FOFIR ESTIMACIONES'!F7</f>
        <v>200950.15457305525</v>
      </c>
      <c r="G5" s="665">
        <f>'FOFIR  INCREMENTO'!G7+'FOFIR ESTIMACIONES'!G7</f>
        <v>121257.92589507153</v>
      </c>
      <c r="H5" s="665">
        <f>'FOFIR  INCREMENTO'!H7+'FOFIR ESTIMACIONES'!H7</f>
        <v>121257.92589507153</v>
      </c>
      <c r="I5" s="665">
        <f>'FOFIR  INCREMENTO'!I7+'FOFIR ESTIMACIONES'!I7</f>
        <v>172418.81384142791</v>
      </c>
      <c r="J5" s="665">
        <f>'FOFIR  INCREMENTO'!J7+'FOFIR ESTIMACIONES'!J7</f>
        <v>121257.92589507154</v>
      </c>
      <c r="K5" s="665">
        <f>'FOFIR  INCREMENTO'!K7+'FOFIR ESTIMACIONES'!K7</f>
        <v>121257.92589507154</v>
      </c>
      <c r="L5" s="665">
        <f>'FOFIR  INCREMENTO'!L7+'FOFIR ESTIMACIONES'!L7</f>
        <v>171174.70841675394</v>
      </c>
      <c r="M5" s="665">
        <f>'FOFIR  INCREMENTO'!M7+'FOFIR ESTIMACIONES'!M7</f>
        <v>121257.92589507157</v>
      </c>
      <c r="N5" s="665">
        <f>'FOFIR  INCREMENTO'!N7+'FOFIR ESTIMACIONES'!N7</f>
        <v>121257.92589507157</v>
      </c>
      <c r="O5" s="666">
        <f t="shared" ref="O5:O25" si="0">SUM(C5:N5)</f>
        <v>1676823.7796411063</v>
      </c>
      <c r="Q5" s="667"/>
    </row>
    <row r="6" spans="1:17" x14ac:dyDescent="0.2">
      <c r="A6" s="663" t="s">
        <v>148</v>
      </c>
      <c r="B6" s="675"/>
      <c r="C6" s="665">
        <f>'FOFIR  INCREMENTO'!C8+'FOFIR ESTIMACIONES'!C8</f>
        <v>64270.008330878256</v>
      </c>
      <c r="D6" s="665">
        <f>'FOFIR  INCREMENTO'!D8+'FOFIR ESTIMACIONES'!D8</f>
        <v>49231.562399103736</v>
      </c>
      <c r="E6" s="665">
        <f>'FOFIR  INCREMENTO'!E8+'FOFIR ESTIMACIONES'!E8</f>
        <v>49231.562399103736</v>
      </c>
      <c r="F6" s="665">
        <f>'FOFIR  INCREMENTO'!F8+'FOFIR ESTIMACIONES'!F8</f>
        <v>77277.520683279421</v>
      </c>
      <c r="G6" s="665">
        <f>'FOFIR  INCREMENTO'!G8+'FOFIR ESTIMACIONES'!G8</f>
        <v>49231.562399103736</v>
      </c>
      <c r="H6" s="665">
        <f>'FOFIR  INCREMENTO'!H8+'FOFIR ESTIMACIONES'!H8</f>
        <v>49231.562399103736</v>
      </c>
      <c r="I6" s="665">
        <f>'FOFIR  INCREMENTO'!I8+'FOFIR ESTIMACIONES'!I8</f>
        <v>65540.081764242714</v>
      </c>
      <c r="J6" s="665">
        <f>'FOFIR  INCREMENTO'!J8+'FOFIR ESTIMACIONES'!J8</f>
        <v>49231.562399103743</v>
      </c>
      <c r="K6" s="665">
        <f>'FOFIR  INCREMENTO'!K8+'FOFIR ESTIMACIONES'!K8</f>
        <v>49231.562399103743</v>
      </c>
      <c r="L6" s="665">
        <f>'FOFIR  INCREMENTO'!L8+'FOFIR ESTIMACIONES'!L8</f>
        <v>66932.015410099339</v>
      </c>
      <c r="M6" s="665">
        <f>'FOFIR  INCREMENTO'!M8+'FOFIR ESTIMACIONES'!M8</f>
        <v>49231.562399103757</v>
      </c>
      <c r="N6" s="665">
        <f>'FOFIR  INCREMENTO'!N8+'FOFIR ESTIMACIONES'!N8</f>
        <v>49231.562399103757</v>
      </c>
      <c r="O6" s="666">
        <f t="shared" si="0"/>
        <v>667872.12538132968</v>
      </c>
      <c r="Q6" s="667"/>
    </row>
    <row r="7" spans="1:17" x14ac:dyDescent="0.2">
      <c r="A7" s="663" t="s">
        <v>149</v>
      </c>
      <c r="B7" s="675"/>
      <c r="C7" s="665">
        <f>'FOFIR  INCREMENTO'!C9+'FOFIR ESTIMACIONES'!C9</f>
        <v>46729.278644431572</v>
      </c>
      <c r="D7" s="665">
        <f>'FOFIR  INCREMENTO'!D9+'FOFIR ESTIMACIONES'!D9</f>
        <v>35975.549081794299</v>
      </c>
      <c r="E7" s="665">
        <f>'FOFIR  INCREMENTO'!E9+'FOFIR ESTIMACIONES'!E9</f>
        <v>35975.549081794299</v>
      </c>
      <c r="F7" s="665">
        <f>'FOFIR  INCREMENTO'!F9+'FOFIR ESTIMACIONES'!F9</f>
        <v>55832.055525408054</v>
      </c>
      <c r="G7" s="665">
        <f>'FOFIR  INCREMENTO'!G9+'FOFIR ESTIMACIONES'!G9</f>
        <v>35975.549081794299</v>
      </c>
      <c r="H7" s="665">
        <f>'FOFIR  INCREMENTO'!H9+'FOFIR ESTIMACIONES'!H9</f>
        <v>35975.549081794299</v>
      </c>
      <c r="I7" s="665">
        <f>'FOFIR  INCREMENTO'!I9+'FOFIR ESTIMACIONES'!I9</f>
        <v>47232.300157103673</v>
      </c>
      <c r="J7" s="665">
        <f>'FOFIR  INCREMENTO'!J9+'FOFIR ESTIMACIONES'!J9</f>
        <v>35975.549081794306</v>
      </c>
      <c r="K7" s="665">
        <f>'FOFIR  INCREMENTO'!K9+'FOFIR ESTIMACIONES'!K9</f>
        <v>35975.549081794306</v>
      </c>
      <c r="L7" s="665">
        <f>'FOFIR  INCREMENTO'!L9+'FOFIR ESTIMACIONES'!L9</f>
        <v>48530.2134179606</v>
      </c>
      <c r="M7" s="665">
        <f>'FOFIR  INCREMENTO'!M9+'FOFIR ESTIMACIONES'!M9</f>
        <v>35975.549081794314</v>
      </c>
      <c r="N7" s="665">
        <f>'FOFIR  INCREMENTO'!N9+'FOFIR ESTIMACIONES'!N9</f>
        <v>35975.549081794314</v>
      </c>
      <c r="O7" s="666">
        <f t="shared" si="0"/>
        <v>486128.2403992585</v>
      </c>
      <c r="Q7" s="667"/>
    </row>
    <row r="8" spans="1:17" x14ac:dyDescent="0.2">
      <c r="A8" s="663" t="s">
        <v>285</v>
      </c>
      <c r="B8" s="675"/>
      <c r="C8" s="665">
        <f>'FOFIR  INCREMENTO'!C10+'FOFIR ESTIMACIONES'!C10</f>
        <v>1517793.9663603324</v>
      </c>
      <c r="D8" s="665">
        <f>'FOFIR  INCREMENTO'!D10+'FOFIR ESTIMACIONES'!D10</f>
        <v>447885.42812980461</v>
      </c>
      <c r="E8" s="665">
        <f>'FOFIR  INCREMENTO'!E10+'FOFIR ESTIMACIONES'!E10</f>
        <v>447885.42812980461</v>
      </c>
      <c r="F8" s="665">
        <f>'FOFIR  INCREMENTO'!F10+'FOFIR ESTIMACIONES'!F10</f>
        <v>3230411.0532234339</v>
      </c>
      <c r="G8" s="665">
        <f>'FOFIR  INCREMENTO'!G10+'FOFIR ESTIMACIONES'!G10</f>
        <v>447885.42812980461</v>
      </c>
      <c r="H8" s="665">
        <f>'FOFIR  INCREMENTO'!H10+'FOFIR ESTIMACIONES'!H10</f>
        <v>447885.42812980461</v>
      </c>
      <c r="I8" s="665">
        <f>'FOFIR  INCREMENTO'!I10+'FOFIR ESTIMACIONES'!I10</f>
        <v>3213658.3368914817</v>
      </c>
      <c r="J8" s="665">
        <f>'FOFIR  INCREMENTO'!J10+'FOFIR ESTIMACIONES'!J10</f>
        <v>447885.42812980467</v>
      </c>
      <c r="K8" s="665">
        <f>'FOFIR  INCREMENTO'!K10+'FOFIR ESTIMACIONES'!K10</f>
        <v>447885.42812980467</v>
      </c>
      <c r="L8" s="665">
        <f>'FOFIR  INCREMENTO'!L10+'FOFIR ESTIMACIONES'!L10</f>
        <v>2113802.5447348109</v>
      </c>
      <c r="M8" s="665">
        <f>'FOFIR  INCREMENTO'!M10+'FOFIR ESTIMACIONES'!M10</f>
        <v>447885.42812980473</v>
      </c>
      <c r="N8" s="665">
        <f>'FOFIR  INCREMENTO'!N10+'FOFIR ESTIMACIONES'!N10</f>
        <v>447885.42812980473</v>
      </c>
      <c r="O8" s="666">
        <f t="shared" si="0"/>
        <v>13658749.326248499</v>
      </c>
      <c r="Q8" s="667"/>
    </row>
    <row r="9" spans="1:17" x14ac:dyDescent="0.2">
      <c r="A9" s="663" t="s">
        <v>151</v>
      </c>
      <c r="B9" s="675"/>
      <c r="C9" s="665">
        <f>'FOFIR  INCREMENTO'!C11+'FOFIR ESTIMACIONES'!C11</f>
        <v>367819.35574175767</v>
      </c>
      <c r="D9" s="665">
        <f>'FOFIR  INCREMENTO'!D11+'FOFIR ESTIMACIONES'!D11</f>
        <v>230322.27186767076</v>
      </c>
      <c r="E9" s="665">
        <f>'FOFIR  INCREMENTO'!E11+'FOFIR ESTIMACIONES'!E11</f>
        <v>230322.27186767076</v>
      </c>
      <c r="F9" s="665">
        <f>'FOFIR  INCREMENTO'!F11+'FOFIR ESTIMACIONES'!F11</f>
        <v>543391.39160458837</v>
      </c>
      <c r="G9" s="665">
        <f>'FOFIR  INCREMENTO'!G11+'FOFIR ESTIMACIONES'!G11</f>
        <v>230322.27186767076</v>
      </c>
      <c r="H9" s="665">
        <f>'FOFIR  INCREMENTO'!H11+'FOFIR ESTIMACIONES'!H11</f>
        <v>230322.27186767076</v>
      </c>
      <c r="I9" s="665">
        <f>'FOFIR  INCREMENTO'!I11+'FOFIR ESTIMACIONES'!I11</f>
        <v>494957.73437122582</v>
      </c>
      <c r="J9" s="665">
        <f>'FOFIR  INCREMENTO'!J11+'FOFIR ESTIMACIONES'!J11</f>
        <v>230322.27186767082</v>
      </c>
      <c r="K9" s="665">
        <f>'FOFIR  INCREMENTO'!K11+'FOFIR ESTIMACIONES'!K11</f>
        <v>230322.27186767082</v>
      </c>
      <c r="L9" s="665">
        <f>'FOFIR  INCREMENTO'!L11+'FOFIR ESTIMACIONES'!L11</f>
        <v>421417.04559421638</v>
      </c>
      <c r="M9" s="665">
        <f>'FOFIR  INCREMENTO'!M11+'FOFIR ESTIMACIONES'!M11</f>
        <v>230322.27186767088</v>
      </c>
      <c r="N9" s="665">
        <f>'FOFIR  INCREMENTO'!N11+'FOFIR ESTIMACIONES'!N11</f>
        <v>230322.27186767088</v>
      </c>
      <c r="O9" s="666">
        <f t="shared" si="0"/>
        <v>3670163.7022531554</v>
      </c>
      <c r="Q9" s="667"/>
    </row>
    <row r="10" spans="1:17" x14ac:dyDescent="0.2">
      <c r="A10" s="663" t="s">
        <v>286</v>
      </c>
      <c r="B10" s="675"/>
      <c r="C10" s="665">
        <f>'FOFIR  INCREMENTO'!C12+'FOFIR ESTIMACIONES'!C12</f>
        <v>136168.8927055384</v>
      </c>
      <c r="D10" s="665">
        <f>'FOFIR  INCREMENTO'!D12+'FOFIR ESTIMACIONES'!D12</f>
        <v>106018.40112799812</v>
      </c>
      <c r="E10" s="665">
        <f>'FOFIR  INCREMENTO'!E12+'FOFIR ESTIMACIONES'!E12</f>
        <v>106018.40112799812</v>
      </c>
      <c r="F10" s="665">
        <f>'FOFIR  INCREMENTO'!F12+'FOFIR ESTIMACIONES'!F12</f>
        <v>160362.6601550809</v>
      </c>
      <c r="G10" s="665">
        <f>'FOFIR  INCREMENTO'!G12+'FOFIR ESTIMACIONES'!G12</f>
        <v>106018.40112799812</v>
      </c>
      <c r="H10" s="665">
        <f>'FOFIR  INCREMENTO'!H12+'FOFIR ESTIMACIONES'!H12</f>
        <v>106018.40112799812</v>
      </c>
      <c r="I10" s="665">
        <f>'FOFIR  INCREMENTO'!I12+'FOFIR ESTIMACIONES'!I12</f>
        <v>134870.93630314758</v>
      </c>
      <c r="J10" s="665">
        <f>'FOFIR  INCREMENTO'!J12+'FOFIR ESTIMACIONES'!J12</f>
        <v>106018.40112799814</v>
      </c>
      <c r="K10" s="665">
        <f>'FOFIR  INCREMENTO'!K12+'FOFIR ESTIMACIONES'!K12</f>
        <v>106018.40112799814</v>
      </c>
      <c r="L10" s="665">
        <f>'FOFIR  INCREMENTO'!L12+'FOFIR ESTIMACIONES'!L12</f>
        <v>140532.2984248643</v>
      </c>
      <c r="M10" s="665">
        <f>'FOFIR  INCREMENTO'!M12+'FOFIR ESTIMACIONES'!M12</f>
        <v>106018.40112799816</v>
      </c>
      <c r="N10" s="665">
        <f>'FOFIR  INCREMENTO'!N12+'FOFIR ESTIMACIONES'!N12</f>
        <v>106018.40112799816</v>
      </c>
      <c r="O10" s="666">
        <f t="shared" si="0"/>
        <v>1420081.9966126163</v>
      </c>
      <c r="Q10" s="667"/>
    </row>
    <row r="11" spans="1:17" x14ac:dyDescent="0.2">
      <c r="A11" s="663" t="s">
        <v>153</v>
      </c>
      <c r="B11" s="675"/>
      <c r="C11" s="665">
        <f>'FOFIR  INCREMENTO'!C13+'FOFIR ESTIMACIONES'!C13</f>
        <v>46934.034334846627</v>
      </c>
      <c r="D11" s="665">
        <f>'FOFIR  INCREMENTO'!D13+'FOFIR ESTIMACIONES'!D13</f>
        <v>36545.866579807953</v>
      </c>
      <c r="E11" s="665">
        <f>'FOFIR  INCREMENTO'!E13+'FOFIR ESTIMACIONES'!E13</f>
        <v>36545.866579807953</v>
      </c>
      <c r="F11" s="665">
        <f>'FOFIR  INCREMENTO'!F13+'FOFIR ESTIMACIONES'!F13</f>
        <v>55265.243032247046</v>
      </c>
      <c r="G11" s="665">
        <f>'FOFIR  INCREMENTO'!G13+'FOFIR ESTIMACIONES'!G13</f>
        <v>36545.866579807953</v>
      </c>
      <c r="H11" s="665">
        <f>'FOFIR  INCREMENTO'!H13+'FOFIR ESTIMACIONES'!H13</f>
        <v>36545.866579807953</v>
      </c>
      <c r="I11" s="665">
        <f>'FOFIR  INCREMENTO'!I13+'FOFIR ESTIMACIONES'!I13</f>
        <v>46477.437096770904</v>
      </c>
      <c r="J11" s="665">
        <f>'FOFIR  INCREMENTO'!J13+'FOFIR ESTIMACIONES'!J13</f>
        <v>36545.866579807953</v>
      </c>
      <c r="K11" s="665">
        <f>'FOFIR  INCREMENTO'!K13+'FOFIR ESTIMACIONES'!K13</f>
        <v>36545.866579807953</v>
      </c>
      <c r="L11" s="665">
        <f>'FOFIR  INCREMENTO'!L13+'FOFIR ESTIMACIONES'!L13</f>
        <v>48435.03987349337</v>
      </c>
      <c r="M11" s="665">
        <f>'FOFIR  INCREMENTO'!M13+'FOFIR ESTIMACIONES'!M13</f>
        <v>36545.866579807967</v>
      </c>
      <c r="N11" s="665">
        <f>'FOFIR  INCREMENTO'!N13+'FOFIR ESTIMACIONES'!N13</f>
        <v>36545.866579807967</v>
      </c>
      <c r="O11" s="666">
        <f t="shared" si="0"/>
        <v>489478.6869758215</v>
      </c>
      <c r="Q11" s="667"/>
    </row>
    <row r="12" spans="1:17" x14ac:dyDescent="0.2">
      <c r="A12" s="663" t="s">
        <v>154</v>
      </c>
      <c r="B12" s="675"/>
      <c r="C12" s="665">
        <f>'FOFIR  INCREMENTO'!C14+'FOFIR ESTIMACIONES'!C14</f>
        <v>121095.78524370941</v>
      </c>
      <c r="D12" s="665">
        <f>'FOFIR  INCREMENTO'!D14+'FOFIR ESTIMACIONES'!D14</f>
        <v>90120.024313579925</v>
      </c>
      <c r="E12" s="665">
        <f>'FOFIR  INCREMENTO'!E14+'FOFIR ESTIMACIONES'!E14</f>
        <v>90120.024313579925</v>
      </c>
      <c r="F12" s="665">
        <f>'FOFIR  INCREMENTO'!F14+'FOFIR ESTIMACIONES'!F14</f>
        <v>150796.64415151364</v>
      </c>
      <c r="G12" s="665">
        <f>'FOFIR  INCREMENTO'!G14+'FOFIR ESTIMACIONES'!G14</f>
        <v>90120.024313579925</v>
      </c>
      <c r="H12" s="665">
        <f>'FOFIR  INCREMENTO'!H14+'FOFIR ESTIMACIONES'!H14</f>
        <v>90120.024313579925</v>
      </c>
      <c r="I12" s="665">
        <f>'FOFIR  INCREMENTO'!I14+'FOFIR ESTIMACIONES'!I14</f>
        <v>129643.48661277416</v>
      </c>
      <c r="J12" s="665">
        <f>'FOFIR  INCREMENTO'!J14+'FOFIR ESTIMACIONES'!J14</f>
        <v>90120.024313579939</v>
      </c>
      <c r="K12" s="665">
        <f>'FOFIR  INCREMENTO'!K14+'FOFIR ESTIMACIONES'!K14</f>
        <v>90120.024313579939</v>
      </c>
      <c r="L12" s="665">
        <f>'FOFIR  INCREMENTO'!L14+'FOFIR ESTIMACIONES'!L14</f>
        <v>128081.1960772489</v>
      </c>
      <c r="M12" s="665">
        <f>'FOFIR  INCREMENTO'!M14+'FOFIR ESTIMACIONES'!M14</f>
        <v>90120.024313579968</v>
      </c>
      <c r="N12" s="665">
        <f>'FOFIR  INCREMENTO'!N14+'FOFIR ESTIMACIONES'!N14</f>
        <v>90120.024313579968</v>
      </c>
      <c r="O12" s="666">
        <f t="shared" si="0"/>
        <v>1250577.3065938856</v>
      </c>
      <c r="Q12" s="667"/>
    </row>
    <row r="13" spans="1:17" x14ac:dyDescent="0.2">
      <c r="A13" s="663" t="s">
        <v>155</v>
      </c>
      <c r="B13" s="675"/>
      <c r="C13" s="665">
        <f>'FOFIR  INCREMENTO'!C15+'FOFIR ESTIMACIONES'!C15</f>
        <v>72986.346905432758</v>
      </c>
      <c r="D13" s="665">
        <f>'FOFIR  INCREMENTO'!D15+'FOFIR ESTIMACIONES'!D15</f>
        <v>55852.13686496194</v>
      </c>
      <c r="E13" s="665">
        <f>'FOFIR  INCREMENTO'!E15+'FOFIR ESTIMACIONES'!E15</f>
        <v>55852.13686496194</v>
      </c>
      <c r="F13" s="665">
        <f>'FOFIR  INCREMENTO'!F15+'FOFIR ESTIMACIONES'!F15</f>
        <v>87868.531981523614</v>
      </c>
      <c r="G13" s="665">
        <f>'FOFIR  INCREMENTO'!G15+'FOFIR ESTIMACIONES'!G15</f>
        <v>55852.13686496194</v>
      </c>
      <c r="H13" s="665">
        <f>'FOFIR  INCREMENTO'!H15+'FOFIR ESTIMACIONES'!H15</f>
        <v>55852.13686496194</v>
      </c>
      <c r="I13" s="665">
        <f>'FOFIR  INCREMENTO'!I15+'FOFIR ESTIMACIONES'!I15</f>
        <v>74559.746673341637</v>
      </c>
      <c r="J13" s="665">
        <f>'FOFIR  INCREMENTO'!J15+'FOFIR ESTIMACIONES'!J15</f>
        <v>55852.136864961947</v>
      </c>
      <c r="K13" s="665">
        <f>'FOFIR  INCREMENTO'!K15+'FOFIR ESTIMACIONES'!K15</f>
        <v>55852.136864961947</v>
      </c>
      <c r="L13" s="665">
        <f>'FOFIR  INCREMENTO'!L15+'FOFIR ESTIMACIONES'!L15</f>
        <v>76051.327125467011</v>
      </c>
      <c r="M13" s="665">
        <f>'FOFIR  INCREMENTO'!M15+'FOFIR ESTIMACIONES'!M15</f>
        <v>55852.136864961962</v>
      </c>
      <c r="N13" s="665">
        <f>'FOFIR  INCREMENTO'!N15+'FOFIR ESTIMACIONES'!N15</f>
        <v>55852.136864961962</v>
      </c>
      <c r="O13" s="666">
        <f t="shared" si="0"/>
        <v>758283.04760546051</v>
      </c>
      <c r="Q13" s="667"/>
    </row>
    <row r="14" spans="1:17" x14ac:dyDescent="0.2">
      <c r="A14" s="663" t="s">
        <v>156</v>
      </c>
      <c r="B14" s="675"/>
      <c r="C14" s="665">
        <f>'FOFIR  INCREMENTO'!C16+'FOFIR ESTIMACIONES'!C16</f>
        <v>53818.162987776355</v>
      </c>
      <c r="D14" s="665">
        <f>'FOFIR  INCREMENTO'!D16+'FOFIR ESTIMACIONES'!D16</f>
        <v>41830.090703992675</v>
      </c>
      <c r="E14" s="665">
        <f>'FOFIR  INCREMENTO'!E16+'FOFIR ESTIMACIONES'!E16</f>
        <v>41830.090703992675</v>
      </c>
      <c r="F14" s="665">
        <f>'FOFIR  INCREMENTO'!F16+'FOFIR ESTIMACIONES'!F16</f>
        <v>63521.202348206803</v>
      </c>
      <c r="G14" s="665">
        <f>'FOFIR  INCREMENTO'!G16+'FOFIR ESTIMACIONES'!G16</f>
        <v>41830.090703992675</v>
      </c>
      <c r="H14" s="665">
        <f>'FOFIR  INCREMENTO'!H16+'FOFIR ESTIMACIONES'!H16</f>
        <v>41830.090703992675</v>
      </c>
      <c r="I14" s="665">
        <f>'FOFIR  INCREMENTO'!I16+'FOFIR ESTIMACIONES'!I16</f>
        <v>53472.196013207213</v>
      </c>
      <c r="J14" s="665">
        <f>'FOFIR  INCREMENTO'!J16+'FOFIR ESTIMACIONES'!J16</f>
        <v>41830.090703992682</v>
      </c>
      <c r="K14" s="665">
        <f>'FOFIR  INCREMENTO'!K16+'FOFIR ESTIMACIONES'!K16</f>
        <v>41830.090703992682</v>
      </c>
      <c r="L14" s="665">
        <f>'FOFIR  INCREMENTO'!L16+'FOFIR ESTIMACIONES'!L16</f>
        <v>55596.170684676312</v>
      </c>
      <c r="M14" s="665">
        <f>'FOFIR  INCREMENTO'!M16+'FOFIR ESTIMACIONES'!M16</f>
        <v>41830.090703992697</v>
      </c>
      <c r="N14" s="665">
        <f>'FOFIR  INCREMENTO'!N16+'FOFIR ESTIMACIONES'!N16</f>
        <v>41830.090703992697</v>
      </c>
      <c r="O14" s="666">
        <f t="shared" si="0"/>
        <v>561048.45766580815</v>
      </c>
      <c r="Q14" s="667"/>
    </row>
    <row r="15" spans="1:17" x14ac:dyDescent="0.2">
      <c r="A15" s="663" t="s">
        <v>157</v>
      </c>
      <c r="B15" s="675"/>
      <c r="C15" s="665">
        <f>'FOFIR  INCREMENTO'!C17+'FOFIR ESTIMACIONES'!C17</f>
        <v>144865.20045975837</v>
      </c>
      <c r="D15" s="665">
        <f>'FOFIR  INCREMENTO'!D17+'FOFIR ESTIMACIONES'!D17</f>
        <v>111822.99499932115</v>
      </c>
      <c r="E15" s="665">
        <f>'FOFIR  INCREMENTO'!E17+'FOFIR ESTIMACIONES'!E17</f>
        <v>111822.99499932115</v>
      </c>
      <c r="F15" s="665">
        <f>'FOFIR  INCREMENTO'!F17+'FOFIR ESTIMACIONES'!F17</f>
        <v>172503.87444664424</v>
      </c>
      <c r="G15" s="665">
        <f>'FOFIR  INCREMENTO'!G17+'FOFIR ESTIMACIONES'!G17</f>
        <v>111822.99499932115</v>
      </c>
      <c r="H15" s="665">
        <f>'FOFIR  INCREMENTO'!H17+'FOFIR ESTIMACIONES'!H17</f>
        <v>111822.99499932115</v>
      </c>
      <c r="I15" s="665">
        <f>'FOFIR  INCREMENTO'!I17+'FOFIR ESTIMACIONES'!I17</f>
        <v>145736.18990418903</v>
      </c>
      <c r="J15" s="665">
        <f>'FOFIR  INCREMENTO'!J17+'FOFIR ESTIMACIONES'!J17</f>
        <v>111822.99499932116</v>
      </c>
      <c r="K15" s="665">
        <f>'FOFIR  INCREMENTO'!K17+'FOFIR ESTIMACIONES'!K17</f>
        <v>111822.99499932116</v>
      </c>
      <c r="L15" s="665">
        <f>'FOFIR  INCREMENTO'!L17+'FOFIR ESTIMACIONES'!L17</f>
        <v>150227.94665245799</v>
      </c>
      <c r="M15" s="665">
        <f>'FOFIR  INCREMENTO'!M17+'FOFIR ESTIMACIONES'!M17</f>
        <v>111822.99499932119</v>
      </c>
      <c r="N15" s="665">
        <f>'FOFIR  INCREMENTO'!N17+'FOFIR ESTIMACIONES'!N17</f>
        <v>111822.99499932119</v>
      </c>
      <c r="O15" s="666">
        <f t="shared" si="0"/>
        <v>1507917.1714576189</v>
      </c>
      <c r="Q15" s="667"/>
    </row>
    <row r="16" spans="1:17" x14ac:dyDescent="0.2">
      <c r="A16" s="663" t="s">
        <v>158</v>
      </c>
      <c r="B16" s="675"/>
      <c r="C16" s="665">
        <f>'FOFIR  INCREMENTO'!C18+'FOFIR ESTIMACIONES'!C18</f>
        <v>94954.987787591061</v>
      </c>
      <c r="D16" s="665">
        <f>'FOFIR  INCREMENTO'!D18+'FOFIR ESTIMACIONES'!D18</f>
        <v>72970.181569494685</v>
      </c>
      <c r="E16" s="665">
        <f>'FOFIR  INCREMENTO'!E18+'FOFIR ESTIMACIONES'!E18</f>
        <v>72970.181569494685</v>
      </c>
      <c r="F16" s="665">
        <f>'FOFIR  INCREMENTO'!F18+'FOFIR ESTIMACIONES'!F18</f>
        <v>113713.51360572562</v>
      </c>
      <c r="G16" s="665">
        <f>'FOFIR  INCREMENTO'!G18+'FOFIR ESTIMACIONES'!G18</f>
        <v>72970.181569494685</v>
      </c>
      <c r="H16" s="665">
        <f>'FOFIR  INCREMENTO'!H18+'FOFIR ESTIMACIONES'!H18</f>
        <v>72970.181569494685</v>
      </c>
      <c r="I16" s="665">
        <f>'FOFIR  INCREMENTO'!I18+'FOFIR ESTIMACIONES'!I18</f>
        <v>96287.061856182874</v>
      </c>
      <c r="J16" s="665">
        <f>'FOFIR  INCREMENTO'!J18+'FOFIR ESTIMACIONES'!J18</f>
        <v>72970.1815694947</v>
      </c>
      <c r="K16" s="665">
        <f>'FOFIR  INCREMENTO'!K18+'FOFIR ESTIMACIONES'!K18</f>
        <v>72970.1815694947</v>
      </c>
      <c r="L16" s="665">
        <f>'FOFIR  INCREMENTO'!L18+'FOFIR ESTIMACIONES'!L18</f>
        <v>98713.716591736928</v>
      </c>
      <c r="M16" s="665">
        <f>'FOFIR  INCREMENTO'!M18+'FOFIR ESTIMACIONES'!M18</f>
        <v>72970.181569494714</v>
      </c>
      <c r="N16" s="665">
        <f>'FOFIR  INCREMENTO'!N18+'FOFIR ESTIMACIONES'!N18</f>
        <v>72970.181569494714</v>
      </c>
      <c r="O16" s="666">
        <f t="shared" si="0"/>
        <v>987430.73239719402</v>
      </c>
      <c r="Q16" s="667"/>
    </row>
    <row r="17" spans="1:17" x14ac:dyDescent="0.2">
      <c r="A17" s="663" t="s">
        <v>159</v>
      </c>
      <c r="B17" s="675"/>
      <c r="C17" s="665">
        <f>'FOFIR  INCREMENTO'!C19+'FOFIR ESTIMACIONES'!C19</f>
        <v>171013.94950371131</v>
      </c>
      <c r="D17" s="665">
        <f>'FOFIR  INCREMENTO'!D19+'FOFIR ESTIMACIONES'!D19</f>
        <v>130600.38167196163</v>
      </c>
      <c r="E17" s="665">
        <f>'FOFIR  INCREMENTO'!E19+'FOFIR ESTIMACIONES'!E19</f>
        <v>130600.38167196163</v>
      </c>
      <c r="F17" s="665">
        <f>'FOFIR  INCREMENTO'!F19+'FOFIR ESTIMACIONES'!F19</f>
        <v>206408.311584015</v>
      </c>
      <c r="G17" s="665">
        <f>'FOFIR  INCREMENTO'!G19+'FOFIR ESTIMACIONES'!G19</f>
        <v>130600.38167196163</v>
      </c>
      <c r="H17" s="665">
        <f>'FOFIR  INCREMENTO'!H19+'FOFIR ESTIMACIONES'!H19</f>
        <v>130600.38167196163</v>
      </c>
      <c r="I17" s="665">
        <f>'FOFIR  INCREMENTO'!I19+'FOFIR ESTIMACIONES'!I19</f>
        <v>175321.66125923942</v>
      </c>
      <c r="J17" s="665">
        <f>'FOFIR  INCREMENTO'!J19+'FOFIR ESTIMACIONES'!J19</f>
        <v>130600.38167196164</v>
      </c>
      <c r="K17" s="665">
        <f>'FOFIR  INCREMENTO'!K19+'FOFIR ESTIMACIONES'!K19</f>
        <v>130600.38167196164</v>
      </c>
      <c r="L17" s="665">
        <f>'FOFIR  INCREMENTO'!L19+'FOFIR ESTIMACIONES'!L19</f>
        <v>178394.26121913752</v>
      </c>
      <c r="M17" s="665">
        <f>'FOFIR  INCREMENTO'!M19+'FOFIR ESTIMACIONES'!M19</f>
        <v>130600.38167196167</v>
      </c>
      <c r="N17" s="665">
        <f>'FOFIR  INCREMENTO'!N19+'FOFIR ESTIMACIONES'!N19</f>
        <v>130600.38167196167</v>
      </c>
      <c r="O17" s="666">
        <f t="shared" si="0"/>
        <v>1775941.2369417965</v>
      </c>
      <c r="Q17" s="667"/>
    </row>
    <row r="18" spans="1:17" x14ac:dyDescent="0.2">
      <c r="A18" s="663" t="s">
        <v>287</v>
      </c>
      <c r="B18" s="675"/>
      <c r="C18" s="665">
        <f>'FOFIR  INCREMENTO'!C20+'FOFIR ESTIMACIONES'!C20</f>
        <v>31999.193098996016</v>
      </c>
      <c r="D18" s="665">
        <f>'FOFIR  INCREMENTO'!D20+'FOFIR ESTIMACIONES'!D20</f>
        <v>24732.635681224718</v>
      </c>
      <c r="E18" s="665">
        <f>'FOFIR  INCREMENTO'!E20+'FOFIR ESTIMACIONES'!E20</f>
        <v>24732.635681224718</v>
      </c>
      <c r="F18" s="665">
        <f>'FOFIR  INCREMENTO'!F20+'FOFIR ESTIMACIONES'!F20</f>
        <v>38041.133115992357</v>
      </c>
      <c r="G18" s="665">
        <f>'FOFIR  INCREMENTO'!G20+'FOFIR ESTIMACIONES'!G20</f>
        <v>24732.635681224718</v>
      </c>
      <c r="H18" s="665">
        <f>'FOFIR  INCREMENTO'!H20+'FOFIR ESTIMACIONES'!H20</f>
        <v>24732.635681224718</v>
      </c>
      <c r="I18" s="665">
        <f>'FOFIR  INCREMENTO'!I20+'FOFIR ESTIMACIONES'!I20</f>
        <v>32116.731847610965</v>
      </c>
      <c r="J18" s="665">
        <f>'FOFIR  INCREMENTO'!J20+'FOFIR ESTIMACIONES'!J20</f>
        <v>24732.635681224721</v>
      </c>
      <c r="K18" s="665">
        <f>'FOFIR  INCREMENTO'!K20+'FOFIR ESTIMACIONES'!K20</f>
        <v>24732.635681224721</v>
      </c>
      <c r="L18" s="665">
        <f>'FOFIR  INCREMENTO'!L20+'FOFIR ESTIMACIONES'!L20</f>
        <v>33159.811055233877</v>
      </c>
      <c r="M18" s="665">
        <f>'FOFIR  INCREMENTO'!M20+'FOFIR ESTIMACIONES'!M20</f>
        <v>24732.635681224729</v>
      </c>
      <c r="N18" s="665">
        <f>'FOFIR  INCREMENTO'!N20+'FOFIR ESTIMACIONES'!N20</f>
        <v>24732.635681224729</v>
      </c>
      <c r="O18" s="666">
        <f t="shared" si="0"/>
        <v>333177.95456763107</v>
      </c>
      <c r="Q18" s="667"/>
    </row>
    <row r="19" spans="1:17" x14ac:dyDescent="0.2">
      <c r="A19" s="663" t="s">
        <v>288</v>
      </c>
      <c r="B19" s="675"/>
      <c r="C19" s="665">
        <f>'FOFIR  INCREMENTO'!C21+'FOFIR ESTIMACIONES'!C21</f>
        <v>97682.749082408758</v>
      </c>
      <c r="D19" s="665">
        <f>'FOFIR  INCREMENTO'!D21+'FOFIR ESTIMACIONES'!D21</f>
        <v>75242.954611117559</v>
      </c>
      <c r="E19" s="665">
        <f>'FOFIR  INCREMENTO'!E21+'FOFIR ESTIMACIONES'!E21</f>
        <v>75242.954611117559</v>
      </c>
      <c r="F19" s="665">
        <f>'FOFIR  INCREMENTO'!F21+'FOFIR ESTIMACIONES'!F21</f>
        <v>116632.96658152384</v>
      </c>
      <c r="G19" s="665">
        <f>'FOFIR  INCREMENTO'!G21+'FOFIR ESTIMACIONES'!G21</f>
        <v>75242.954611117559</v>
      </c>
      <c r="H19" s="665">
        <f>'FOFIR  INCREMENTO'!H21+'FOFIR ESTIMACIONES'!H21</f>
        <v>75242.954611117559</v>
      </c>
      <c r="I19" s="665">
        <f>'FOFIR  INCREMENTO'!I21+'FOFIR ESTIMACIONES'!I21</f>
        <v>98641.571562936952</v>
      </c>
      <c r="J19" s="665">
        <f>'FOFIR  INCREMENTO'!J21+'FOFIR ESTIMACIONES'!J21</f>
        <v>75242.954611117573</v>
      </c>
      <c r="K19" s="665">
        <f>'FOFIR  INCREMENTO'!K21+'FOFIR ESTIMACIONES'!K21</f>
        <v>75242.954611117573</v>
      </c>
      <c r="L19" s="665">
        <f>'FOFIR  INCREMENTO'!L21+'FOFIR ESTIMACIONES'!L21</f>
        <v>101417.75283420309</v>
      </c>
      <c r="M19" s="665">
        <f>'FOFIR  INCREMENTO'!M21+'FOFIR ESTIMACIONES'!M21</f>
        <v>75242.954611117588</v>
      </c>
      <c r="N19" s="665">
        <f>'FOFIR  INCREMENTO'!N21+'FOFIR ESTIMACIONES'!N21</f>
        <v>75242.954611117588</v>
      </c>
      <c r="O19" s="666">
        <f t="shared" si="0"/>
        <v>1016318.6769500133</v>
      </c>
      <c r="Q19" s="667"/>
    </row>
    <row r="20" spans="1:17" x14ac:dyDescent="0.2">
      <c r="A20" s="663" t="s">
        <v>289</v>
      </c>
      <c r="B20" s="675"/>
      <c r="C20" s="665">
        <f>'FOFIR  INCREMENTO'!C22+'FOFIR ESTIMACIONES'!C22</f>
        <v>406909.22879250493</v>
      </c>
      <c r="D20" s="665">
        <f>'FOFIR  INCREMENTO'!D22+'FOFIR ESTIMACIONES'!D22</f>
        <v>296691.59746661165</v>
      </c>
      <c r="E20" s="665">
        <f>'FOFIR  INCREMENTO'!E22+'FOFIR ESTIMACIONES'!E22</f>
        <v>296691.59746661165</v>
      </c>
      <c r="F20" s="665">
        <f>'FOFIR  INCREMENTO'!F22+'FOFIR ESTIMACIONES'!F22</f>
        <v>518768.28610108607</v>
      </c>
      <c r="G20" s="665">
        <f>'FOFIR  INCREMENTO'!G22+'FOFIR ESTIMACIONES'!G22</f>
        <v>296691.59746661165</v>
      </c>
      <c r="H20" s="665">
        <f>'FOFIR  INCREMENTO'!H22+'FOFIR ESTIMACIONES'!H22</f>
        <v>296691.59746661165</v>
      </c>
      <c r="I20" s="665">
        <f>'FOFIR  INCREMENTO'!I22+'FOFIR ESTIMACIONES'!I22</f>
        <v>449923.23018599401</v>
      </c>
      <c r="J20" s="665">
        <f>'FOFIR  INCREMENTO'!J22+'FOFIR ESTIMACIONES'!J22</f>
        <v>296691.59746661165</v>
      </c>
      <c r="K20" s="665">
        <f>'FOFIR  INCREMENTO'!K22+'FOFIR ESTIMACIONES'!K22</f>
        <v>296691.59746661165</v>
      </c>
      <c r="L20" s="665">
        <f>'FOFIR  INCREMENTO'!L22+'FOFIR ESTIMACIONES'!L22</f>
        <v>434955.71450921491</v>
      </c>
      <c r="M20" s="665">
        <f>'FOFIR  INCREMENTO'!M22+'FOFIR ESTIMACIONES'!M22</f>
        <v>296691.59746661177</v>
      </c>
      <c r="N20" s="665">
        <f>'FOFIR  INCREMENTO'!N22+'FOFIR ESTIMACIONES'!N22</f>
        <v>296691.59746661177</v>
      </c>
      <c r="O20" s="666">
        <f t="shared" si="0"/>
        <v>4184089.2393216938</v>
      </c>
      <c r="Q20" s="667"/>
    </row>
    <row r="21" spans="1:17" x14ac:dyDescent="0.2">
      <c r="A21" s="663" t="s">
        <v>163</v>
      </c>
      <c r="B21" s="675"/>
      <c r="C21" s="665">
        <f>'FOFIR  INCREMENTO'!C23+'FOFIR ESTIMACIONES'!C23</f>
        <v>169087.40885581615</v>
      </c>
      <c r="D21" s="665">
        <f>'FOFIR  INCREMENTO'!D23+'FOFIR ESTIMACIONES'!D23</f>
        <v>129522.12961289646</v>
      </c>
      <c r="E21" s="665">
        <f>'FOFIR  INCREMENTO'!E23+'FOFIR ESTIMACIONES'!E23</f>
        <v>129522.12961289646</v>
      </c>
      <c r="F21" s="665">
        <f>'FOFIR  INCREMENTO'!F23+'FOFIR ESTIMACIONES'!F23</f>
        <v>203310.25878760943</v>
      </c>
      <c r="G21" s="665">
        <f>'FOFIR  INCREMENTO'!G23+'FOFIR ESTIMACIONES'!G23</f>
        <v>129522.12961289646</v>
      </c>
      <c r="H21" s="665">
        <f>'FOFIR  INCREMENTO'!H23+'FOFIR ESTIMACIONES'!H23</f>
        <v>129522.12961289646</v>
      </c>
      <c r="I21" s="665">
        <f>'FOFIR  INCREMENTO'!I23+'FOFIR ESTIMACIONES'!I23</f>
        <v>172430.60991983162</v>
      </c>
      <c r="J21" s="665">
        <f>'FOFIR  INCREMENTO'!J23+'FOFIR ESTIMACIONES'!J23</f>
        <v>129522.12961289648</v>
      </c>
      <c r="K21" s="665">
        <f>'FOFIR  INCREMENTO'!K23+'FOFIR ESTIMACIONES'!K23</f>
        <v>129522.12961289648</v>
      </c>
      <c r="L21" s="665">
        <f>'FOFIR  INCREMENTO'!L23+'FOFIR ESTIMACIONES'!L23</f>
        <v>176091.42859172061</v>
      </c>
      <c r="M21" s="665">
        <f>'FOFIR  INCREMENTO'!M23+'FOFIR ESTIMACIONES'!M23</f>
        <v>129522.1296128965</v>
      </c>
      <c r="N21" s="665">
        <f>'FOFIR  INCREMENTO'!N23+'FOFIR ESTIMACIONES'!N23</f>
        <v>129522.1296128965</v>
      </c>
      <c r="O21" s="666">
        <f t="shared" si="0"/>
        <v>1757096.7430581499</v>
      </c>
      <c r="Q21" s="667"/>
    </row>
    <row r="22" spans="1:17" x14ac:dyDescent="0.2">
      <c r="A22" s="663" t="s">
        <v>164</v>
      </c>
      <c r="B22" s="675"/>
      <c r="C22" s="665">
        <f>'FOFIR  INCREMENTO'!C24+'FOFIR ESTIMACIONES'!C24</f>
        <v>3814406.9693663707</v>
      </c>
      <c r="D22" s="665">
        <f>'FOFIR  INCREMENTO'!D24+'FOFIR ESTIMACIONES'!D24</f>
        <v>1484881.461075698</v>
      </c>
      <c r="E22" s="665">
        <f>'FOFIR  INCREMENTO'!E24+'FOFIR ESTIMACIONES'!E24</f>
        <v>1484881.461075698</v>
      </c>
      <c r="F22" s="665">
        <f>'FOFIR  INCREMENTO'!F24+'FOFIR ESTIMACIONES'!F24</f>
        <v>7411960.6705984175</v>
      </c>
      <c r="G22" s="665">
        <f>'FOFIR  INCREMENTO'!G24+'FOFIR ESTIMACIONES'!G24</f>
        <v>1484881.461075698</v>
      </c>
      <c r="H22" s="665">
        <f>'FOFIR  INCREMENTO'!H24+'FOFIR ESTIMACIONES'!H24</f>
        <v>1484881.461075698</v>
      </c>
      <c r="I22" s="665">
        <f>'FOFIR  INCREMENTO'!I24+'FOFIR ESTIMACIONES'!I24</f>
        <v>7238945.0386032294</v>
      </c>
      <c r="J22" s="665">
        <f>'FOFIR  INCREMENTO'!J24+'FOFIR ESTIMACIONES'!J24</f>
        <v>1484881.461075698</v>
      </c>
      <c r="K22" s="665">
        <f>'FOFIR  INCREMENTO'!K24+'FOFIR ESTIMACIONES'!K24</f>
        <v>1484881.461075698</v>
      </c>
      <c r="L22" s="665">
        <f>'FOFIR  INCREMENTO'!L24+'FOFIR ESTIMACIONES'!L24</f>
        <v>5044256.7729736036</v>
      </c>
      <c r="M22" s="665">
        <f>'FOFIR  INCREMENTO'!M24+'FOFIR ESTIMACIONES'!M24</f>
        <v>1484881.4610756985</v>
      </c>
      <c r="N22" s="665">
        <f>'FOFIR  INCREMENTO'!N24+'FOFIR ESTIMACIONES'!N24</f>
        <v>1484881.4610756985</v>
      </c>
      <c r="O22" s="666">
        <f t="shared" si="0"/>
        <v>35388621.140147209</v>
      </c>
      <c r="Q22" s="667"/>
    </row>
    <row r="23" spans="1:17" x14ac:dyDescent="0.2">
      <c r="A23" s="663" t="s">
        <v>165</v>
      </c>
      <c r="B23" s="675"/>
      <c r="C23" s="665">
        <f>'FOFIR  INCREMENTO'!C25+'FOFIR ESTIMACIONES'!C25</f>
        <v>128553.39979807386</v>
      </c>
      <c r="D23" s="665">
        <f>'FOFIR  INCREMENTO'!D25+'FOFIR ESTIMACIONES'!D25</f>
        <v>99007.115885882988</v>
      </c>
      <c r="E23" s="665">
        <f>'FOFIR  INCREMENTO'!E25+'FOFIR ESTIMACIONES'!E25</f>
        <v>99007.115885882988</v>
      </c>
      <c r="F23" s="665">
        <f>'FOFIR  INCREMENTO'!F25+'FOFIR ESTIMACIONES'!F25</f>
        <v>153521.64403354036</v>
      </c>
      <c r="G23" s="665">
        <f>'FOFIR  INCREMENTO'!G25+'FOFIR ESTIMACIONES'!G25</f>
        <v>99007.115885882988</v>
      </c>
      <c r="H23" s="665">
        <f>'FOFIR  INCREMENTO'!H25+'FOFIR ESTIMACIONES'!H25</f>
        <v>99007.115885882988</v>
      </c>
      <c r="I23" s="665">
        <f>'FOFIR  INCREMENTO'!I25+'FOFIR ESTIMACIONES'!I25</f>
        <v>129849.84375267342</v>
      </c>
      <c r="J23" s="665">
        <f>'FOFIR  INCREMENTO'!J25+'FOFIR ESTIMACIONES'!J25</f>
        <v>99007.115885883002</v>
      </c>
      <c r="K23" s="665">
        <f>'FOFIR  INCREMENTO'!K25+'FOFIR ESTIMACIONES'!K25</f>
        <v>99007.115885883002</v>
      </c>
      <c r="L23" s="665">
        <f>'FOFIR  INCREMENTO'!L25+'FOFIR ESTIMACIONES'!L25</f>
        <v>133479.85066062384</v>
      </c>
      <c r="M23" s="665">
        <f>'FOFIR  INCREMENTO'!M25+'FOFIR ESTIMACIONES'!M25</f>
        <v>99007.115885883031</v>
      </c>
      <c r="N23" s="665">
        <f>'FOFIR  INCREMENTO'!N25+'FOFIR ESTIMACIONES'!N25</f>
        <v>99007.115885883031</v>
      </c>
      <c r="O23" s="666">
        <f t="shared" si="0"/>
        <v>1337461.6653319756</v>
      </c>
      <c r="Q23" s="667"/>
    </row>
    <row r="24" spans="1:17" ht="13.5" thickBot="1" x14ac:dyDescent="0.25">
      <c r="A24" s="663" t="s">
        <v>166</v>
      </c>
      <c r="B24" s="676"/>
      <c r="C24" s="665">
        <f>'FOFIR  INCREMENTO'!C26+'FOFIR ESTIMACIONES'!C26</f>
        <v>247221.27841290855</v>
      </c>
      <c r="D24" s="665">
        <f>'FOFIR  INCREMENTO'!D26+'FOFIR ESTIMACIONES'!D26</f>
        <v>156535.21596238133</v>
      </c>
      <c r="E24" s="665">
        <f>'FOFIR  INCREMENTO'!E26+'FOFIR ESTIMACIONES'!E26</f>
        <v>156535.21596238133</v>
      </c>
      <c r="F24" s="665">
        <f>'FOFIR  INCREMENTO'!F26+'FOFIR ESTIMACIONES'!F26</f>
        <v>361827.40609632723</v>
      </c>
      <c r="G24" s="665">
        <f>'FOFIR  INCREMENTO'!G26+'FOFIR ESTIMACIONES'!G26</f>
        <v>156535.21596238133</v>
      </c>
      <c r="H24" s="665">
        <f>'FOFIR  INCREMENTO'!H26+'FOFIR ESTIMACIONES'!H26</f>
        <v>156535.21596238133</v>
      </c>
      <c r="I24" s="665">
        <f>'FOFIR  INCREMENTO'!I26+'FOFIR ESTIMACIONES'!I26</f>
        <v>328643.69351241639</v>
      </c>
      <c r="J24" s="665">
        <f>'FOFIR  INCREMENTO'!J26+'FOFIR ESTIMACIONES'!J26</f>
        <v>156535.21596238133</v>
      </c>
      <c r="K24" s="665">
        <f>'FOFIR  INCREMENTO'!K26+'FOFIR ESTIMACIONES'!K26</f>
        <v>156535.21596238133</v>
      </c>
      <c r="L24" s="665">
        <f>'FOFIR  INCREMENTO'!L26+'FOFIR ESTIMACIONES'!L26</f>
        <v>281955.74472908187</v>
      </c>
      <c r="M24" s="665">
        <f>'FOFIR  INCREMENTO'!M26+'FOFIR ESTIMACIONES'!M26</f>
        <v>156535.21596238139</v>
      </c>
      <c r="N24" s="665">
        <f>'FOFIR  INCREMENTO'!N26+'FOFIR ESTIMACIONES'!N26</f>
        <v>156535.21596238139</v>
      </c>
      <c r="O24" s="666">
        <f t="shared" si="0"/>
        <v>2471929.8504497851</v>
      </c>
      <c r="Q24" s="667"/>
    </row>
    <row r="25" spans="1:17" ht="13.5" thickBot="1" x14ac:dyDescent="0.25">
      <c r="A25" s="668" t="s">
        <v>290</v>
      </c>
      <c r="B25" s="669">
        <f t="shared" ref="B25:N25" si="1">SUM(B5:B24)</f>
        <v>0</v>
      </c>
      <c r="C25" s="670">
        <f t="shared" si="1"/>
        <v>7896526.8920621397</v>
      </c>
      <c r="D25" s="670">
        <f t="shared" si="1"/>
        <v>3797045.9255003762</v>
      </c>
      <c r="E25" s="670">
        <f t="shared" si="1"/>
        <v>3797045.9255003762</v>
      </c>
      <c r="F25" s="670">
        <f t="shared" si="1"/>
        <v>13922364.522229219</v>
      </c>
      <c r="G25" s="670">
        <f t="shared" si="1"/>
        <v>3797045.9255003762</v>
      </c>
      <c r="H25" s="670">
        <f t="shared" si="1"/>
        <v>3797045.9255003762</v>
      </c>
      <c r="I25" s="670">
        <f t="shared" si="1"/>
        <v>13300726.702129027</v>
      </c>
      <c r="J25" s="670">
        <f t="shared" si="1"/>
        <v>3797045.9255003762</v>
      </c>
      <c r="K25" s="670">
        <f t="shared" si="1"/>
        <v>3797045.9255003762</v>
      </c>
      <c r="L25" s="670">
        <f t="shared" si="1"/>
        <v>9903205.5595766045</v>
      </c>
      <c r="M25" s="670">
        <f t="shared" si="1"/>
        <v>3797045.9255003771</v>
      </c>
      <c r="N25" s="670">
        <f t="shared" si="1"/>
        <v>3797045.9255003771</v>
      </c>
      <c r="O25" s="670">
        <f t="shared" si="0"/>
        <v>75399191.080000013</v>
      </c>
    </row>
    <row r="26" spans="1:17" x14ac:dyDescent="0.2">
      <c r="A26" s="672" t="s">
        <v>291</v>
      </c>
    </row>
  </sheetData>
  <mergeCells count="2">
    <mergeCell ref="A1:O1"/>
    <mergeCell ref="A2:O2"/>
  </mergeCells>
  <printOptions horizontalCentered="1"/>
  <pageMargins left="0.78740157480314965" right="0.78740157480314965" top="0.98425196850393704" bottom="0.98425196850393704" header="0" footer="0"/>
  <pageSetup paperSize="5" scale="90"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O36"/>
  <sheetViews>
    <sheetView workbookViewId="0">
      <selection sqref="A1:O1"/>
    </sheetView>
  </sheetViews>
  <sheetFormatPr baseColWidth="10" defaultRowHeight="12.75" x14ac:dyDescent="0.2"/>
  <cols>
    <col min="1" max="1" width="16.85546875" style="658" customWidth="1"/>
    <col min="2" max="2" width="9.28515625" style="658" hidden="1" customWidth="1"/>
    <col min="3" max="3" width="8.28515625" style="658" customWidth="1"/>
    <col min="4" max="4" width="9.140625" style="658" customWidth="1"/>
    <col min="5" max="5" width="8.85546875" style="658" customWidth="1"/>
    <col min="6" max="6" width="8.7109375" style="658" customWidth="1"/>
    <col min="7" max="7" width="8.85546875" style="658" customWidth="1"/>
    <col min="8" max="9" width="9" style="658" customWidth="1"/>
    <col min="10" max="14" width="10" style="658" bestFit="1" customWidth="1"/>
    <col min="15" max="15" width="10.85546875" style="658" bestFit="1" customWidth="1"/>
    <col min="16" max="16384" width="11.42578125" style="658"/>
  </cols>
  <sheetData>
    <row r="1" spans="1:15" x14ac:dyDescent="0.2">
      <c r="A1" s="1020"/>
      <c r="B1" s="1020"/>
      <c r="C1" s="1020"/>
      <c r="D1" s="1020"/>
      <c r="E1" s="1020"/>
      <c r="F1" s="1020"/>
      <c r="G1" s="1020"/>
      <c r="H1" s="1020"/>
      <c r="I1" s="1020"/>
      <c r="J1" s="1020"/>
      <c r="K1" s="1020"/>
      <c r="L1" s="1020"/>
      <c r="M1" s="1020"/>
      <c r="N1" s="1020"/>
      <c r="O1" s="1020"/>
    </row>
    <row r="2" spans="1:15" x14ac:dyDescent="0.2">
      <c r="A2" s="1021" t="s">
        <v>468</v>
      </c>
      <c r="B2" s="1021"/>
      <c r="C2" s="1021"/>
      <c r="D2" s="1021"/>
      <c r="E2" s="1021"/>
      <c r="F2" s="1021"/>
      <c r="G2" s="1021"/>
      <c r="H2" s="1021"/>
      <c r="I2" s="1021"/>
      <c r="J2" s="1021"/>
      <c r="K2" s="1021"/>
      <c r="L2" s="1021"/>
      <c r="M2" s="1021"/>
      <c r="N2" s="1021"/>
      <c r="O2" s="1021"/>
    </row>
    <row r="3" spans="1:15" ht="13.5" thickBot="1" x14ac:dyDescent="0.25"/>
    <row r="4" spans="1:15" ht="23.25" thickBot="1" x14ac:dyDescent="0.25">
      <c r="A4" s="659" t="s">
        <v>354</v>
      </c>
      <c r="B4" s="660" t="s">
        <v>283</v>
      </c>
      <c r="C4" s="659" t="s">
        <v>1</v>
      </c>
      <c r="D4" s="661" t="s">
        <v>2</v>
      </c>
      <c r="E4" s="659" t="s">
        <v>3</v>
      </c>
      <c r="F4" s="661" t="s">
        <v>4</v>
      </c>
      <c r="G4" s="659" t="s">
        <v>5</v>
      </c>
      <c r="H4" s="659" t="s">
        <v>6</v>
      </c>
      <c r="I4" s="659" t="s">
        <v>7</v>
      </c>
      <c r="J4" s="661" t="s">
        <v>8</v>
      </c>
      <c r="K4" s="659" t="s">
        <v>9</v>
      </c>
      <c r="L4" s="661" t="s">
        <v>10</v>
      </c>
      <c r="M4" s="659" t="s">
        <v>11</v>
      </c>
      <c r="N4" s="659" t="s">
        <v>12</v>
      </c>
      <c r="O4" s="662" t="s">
        <v>169</v>
      </c>
    </row>
    <row r="5" spans="1:15" x14ac:dyDescent="0.2">
      <c r="A5" s="663" t="s">
        <v>284</v>
      </c>
      <c r="B5" s="674"/>
      <c r="C5" s="665">
        <f>'IEPS INCREMENTO'!C7+'IEPS ESTIMACIONES'!C7</f>
        <v>82187.212931289963</v>
      </c>
      <c r="D5" s="665">
        <f>'IEPS INCREMENTO'!D7+'IEPS ESTIMACIONES'!D7</f>
        <v>116312.52792546473</v>
      </c>
      <c r="E5" s="665">
        <f>'IEPS INCREMENTO'!E7+'IEPS ESTIMACIONES'!E7</f>
        <v>100314.62412788832</v>
      </c>
      <c r="F5" s="665">
        <f>'IEPS INCREMENTO'!F7+'IEPS ESTIMACIONES'!F7</f>
        <v>62555.943126105551</v>
      </c>
      <c r="G5" s="665">
        <f>'IEPS INCREMENTO'!G7+'IEPS ESTIMACIONES'!G7</f>
        <v>75176.436084663248</v>
      </c>
      <c r="H5" s="665">
        <f>'IEPS INCREMENTO'!H7+'IEPS ESTIMACIONES'!H7</f>
        <v>80403.110828080389</v>
      </c>
      <c r="I5" s="665">
        <f>'IEPS INCREMENTO'!I7+'IEPS ESTIMACIONES'!I7</f>
        <v>82531.40512702828</v>
      </c>
      <c r="J5" s="665">
        <f>'IEPS INCREMENTO'!J7+'IEPS ESTIMACIONES'!J7</f>
        <v>91613.724280885333</v>
      </c>
      <c r="K5" s="665">
        <f>'IEPS INCREMENTO'!K7+'IEPS ESTIMACIONES'!K7</f>
        <v>92051.850562937296</v>
      </c>
      <c r="L5" s="665">
        <f>'IEPS INCREMENTO'!L7+'IEPS ESTIMACIONES'!L7</f>
        <v>78380.62355118015</v>
      </c>
      <c r="M5" s="665">
        <f>'IEPS INCREMENTO'!M7+'IEPS ESTIMACIONES'!M7</f>
        <v>74932.701442843099</v>
      </c>
      <c r="N5" s="665">
        <f>'IEPS INCREMENTO'!N7+'IEPS ESTIMACIONES'!N7</f>
        <v>74413.573261633836</v>
      </c>
      <c r="O5" s="666">
        <f>SUM(C5:N5)</f>
        <v>1010873.7332500002</v>
      </c>
    </row>
    <row r="6" spans="1:15" x14ac:dyDescent="0.2">
      <c r="A6" s="663" t="s">
        <v>148</v>
      </c>
      <c r="B6" s="675"/>
      <c r="C6" s="665">
        <f>'IEPS INCREMENTO'!C8+'IEPS ESTIMACIONES'!C8</f>
        <v>108789.4785124932</v>
      </c>
      <c r="D6" s="665">
        <f>'IEPS INCREMENTO'!D8+'IEPS ESTIMACIONES'!D8</f>
        <v>156898.39667655501</v>
      </c>
      <c r="E6" s="665">
        <f>'IEPS INCREMENTO'!E8+'IEPS ESTIMACIONES'!E8</f>
        <v>128216.42456391518</v>
      </c>
      <c r="F6" s="665">
        <f>'IEPS INCREMENTO'!F8+'IEPS ESTIMACIONES'!F8</f>
        <v>94250.635613868624</v>
      </c>
      <c r="G6" s="665">
        <f>'IEPS INCREMENTO'!G8+'IEPS ESTIMACIONES'!G8</f>
        <v>105373.3406028992</v>
      </c>
      <c r="H6" s="665">
        <f>'IEPS INCREMENTO'!H8+'IEPS ESTIMACIONES'!H8</f>
        <v>111972.63603944823</v>
      </c>
      <c r="I6" s="665">
        <f>'IEPS INCREMENTO'!I8+'IEPS ESTIMACIONES'!I8</f>
        <v>114613.05310487756</v>
      </c>
      <c r="J6" s="665">
        <f>'IEPS INCREMENTO'!J8+'IEPS ESTIMACIONES'!J8</f>
        <v>124896.81431634733</v>
      </c>
      <c r="K6" s="665">
        <f>'IEPS INCREMENTO'!K8+'IEPS ESTIMACIONES'!K8</f>
        <v>124251.53588316173</v>
      </c>
      <c r="L6" s="665">
        <f>'IEPS INCREMENTO'!L8+'IEPS ESTIMACIONES'!L8</f>
        <v>109852.72640395271</v>
      </c>
      <c r="M6" s="665">
        <f>'IEPS INCREMENTO'!M8+'IEPS ESTIMACIONES'!M8</f>
        <v>105689.855782196</v>
      </c>
      <c r="N6" s="665">
        <f>'IEPS INCREMENTO'!N8+'IEPS ESTIMACIONES'!N8</f>
        <v>105292.83575028552</v>
      </c>
      <c r="O6" s="666">
        <f t="shared" ref="O6:O24" si="0">SUM(C6:N6)</f>
        <v>1390097.7332500005</v>
      </c>
    </row>
    <row r="7" spans="1:15" x14ac:dyDescent="0.2">
      <c r="A7" s="663" t="s">
        <v>149</v>
      </c>
      <c r="B7" s="675"/>
      <c r="C7" s="665">
        <f>'IEPS INCREMENTO'!C9+'IEPS ESTIMACIONES'!C9</f>
        <v>113705.1145438025</v>
      </c>
      <c r="D7" s="665">
        <f>'IEPS INCREMENTO'!D9+'IEPS ESTIMACIONES'!D9</f>
        <v>164397.95938056082</v>
      </c>
      <c r="E7" s="665">
        <f>'IEPS INCREMENTO'!E9+'IEPS ESTIMACIONES'!E9</f>
        <v>133372.19203578969</v>
      </c>
      <c r="F7" s="665">
        <f>'IEPS INCREMENTO'!F9+'IEPS ESTIMACIONES'!F9</f>
        <v>100107.26357356398</v>
      </c>
      <c r="G7" s="665">
        <f>'IEPS INCREMENTO'!G9+'IEPS ESTIMACIONES'!G9</f>
        <v>110953.20339431237</v>
      </c>
      <c r="H7" s="665">
        <f>'IEPS INCREMENTO'!H9+'IEPS ESTIMACIONES'!H9</f>
        <v>117806.13526328794</v>
      </c>
      <c r="I7" s="665">
        <f>'IEPS INCREMENTO'!I9+'IEPS ESTIMACIONES'!I9</f>
        <v>120541.18370948014</v>
      </c>
      <c r="J7" s="665">
        <f>'IEPS INCREMENTO'!J9+'IEPS ESTIMACIONES'!J9</f>
        <v>131046.95051855226</v>
      </c>
      <c r="K7" s="665">
        <f>'IEPS INCREMENTO'!K9+'IEPS ESTIMACIONES'!K9</f>
        <v>130201.4777358119</v>
      </c>
      <c r="L7" s="665">
        <f>'IEPS INCREMENTO'!L9+'IEPS ESTIMACIONES'!L9</f>
        <v>115668.22367022591</v>
      </c>
      <c r="M7" s="665">
        <f>'IEPS INCREMENTO'!M9+'IEPS ESTIMACIONES'!M9</f>
        <v>111373.24299707644</v>
      </c>
      <c r="N7" s="665">
        <f>'IEPS INCREMENTO'!N9+'IEPS ESTIMACIONES'!N9</f>
        <v>110998.78642753638</v>
      </c>
      <c r="O7" s="666">
        <f t="shared" si="0"/>
        <v>1460171.73325</v>
      </c>
    </row>
    <row r="8" spans="1:15" x14ac:dyDescent="0.2">
      <c r="A8" s="663" t="s">
        <v>285</v>
      </c>
      <c r="B8" s="675"/>
      <c r="C8" s="665">
        <f>'IEPS INCREMENTO'!C10+'IEPS ESTIMACIONES'!C10</f>
        <v>98669.051389209359</v>
      </c>
      <c r="D8" s="665">
        <f>'IEPS INCREMENTO'!D10+'IEPS ESTIMACIONES'!D10</f>
        <v>141458.12052124893</v>
      </c>
      <c r="E8" s="665">
        <f>'IEPS INCREMENTO'!E10+'IEPS ESTIMACIONES'!E10</f>
        <v>117601.6091806441</v>
      </c>
      <c r="F8" s="665">
        <f>'IEPS INCREMENTO'!F10+'IEPS ESTIMACIONES'!F10</f>
        <v>82192.872167437032</v>
      </c>
      <c r="G8" s="665">
        <f>'IEPS INCREMENTO'!G10+'IEPS ESTIMACIONES'!G10</f>
        <v>93885.387797048577</v>
      </c>
      <c r="H8" s="665">
        <f>'IEPS INCREMENTO'!H10+'IEPS ESTIMACIONES'!H10</f>
        <v>99962.490578601777</v>
      </c>
      <c r="I8" s="665">
        <f>'IEPS INCREMENTO'!I10+'IEPS ESTIMACIONES'!I10</f>
        <v>102408.07833069577</v>
      </c>
      <c r="J8" s="665">
        <f>'IEPS INCREMENTO'!J10+'IEPS ESTIMACIONES'!J10</f>
        <v>112234.7691941607</v>
      </c>
      <c r="K8" s="665">
        <f>'IEPS INCREMENTO'!K10+'IEPS ESTIMACIONES'!K10</f>
        <v>112001.65559829373</v>
      </c>
      <c r="L8" s="665">
        <f>'IEPS INCREMENTO'!L10+'IEPS ESTIMACIONES'!L10</f>
        <v>97879.64379691967</v>
      </c>
      <c r="M8" s="665">
        <f>'IEPS INCREMENTO'!M10+'IEPS ESTIMACIONES'!M10</f>
        <v>93988.764457442187</v>
      </c>
      <c r="N8" s="665">
        <f>'IEPS INCREMENTO'!N10+'IEPS ESTIMACIONES'!N10</f>
        <v>93545.290238298476</v>
      </c>
      <c r="O8" s="666">
        <f t="shared" si="0"/>
        <v>1245827.7332500003</v>
      </c>
    </row>
    <row r="9" spans="1:15" x14ac:dyDescent="0.2">
      <c r="A9" s="663" t="s">
        <v>151</v>
      </c>
      <c r="B9" s="675"/>
      <c r="C9" s="665">
        <f>'IEPS INCREMENTO'!C11+'IEPS ESTIMACIONES'!C11</f>
        <v>69608.967792351483</v>
      </c>
      <c r="D9" s="665">
        <f>'IEPS INCREMENTO'!D11+'IEPS ESTIMACIONES'!D11</f>
        <v>97122.470418155746</v>
      </c>
      <c r="E9" s="665">
        <f>'IEPS INCREMENTO'!E11+'IEPS ESTIMACIONES'!E11</f>
        <v>87121.925008679973</v>
      </c>
      <c r="F9" s="665">
        <f>'IEPS INCREMENTO'!F11+'IEPS ESTIMACIONES'!F11</f>
        <v>47569.865699826274</v>
      </c>
      <c r="G9" s="665">
        <f>'IEPS INCREMENTO'!G11+'IEPS ESTIMACIONES'!G11</f>
        <v>60898.551883106025</v>
      </c>
      <c r="H9" s="665">
        <f>'IEPS INCREMENTO'!H11+'IEPS ESTIMACIONES'!H11</f>
        <v>65476.215755314086</v>
      </c>
      <c r="I9" s="665">
        <f>'IEPS INCREMENTO'!I11+'IEPS ESTIMACIONES'!I11</f>
        <v>67362.36505054521</v>
      </c>
      <c r="J9" s="665">
        <f>'IEPS INCREMENTO'!J11+'IEPS ESTIMACIONES'!J11</f>
        <v>75876.611057596252</v>
      </c>
      <c r="K9" s="665">
        <f>'IEPS INCREMENTO'!K11+'IEPS ESTIMACIONES'!K11</f>
        <v>76826.99935174422</v>
      </c>
      <c r="L9" s="665">
        <f>'IEPS INCREMENTO'!L11+'IEPS ESTIMACIONES'!L11</f>
        <v>63499.792311010504</v>
      </c>
      <c r="M9" s="665">
        <f>'IEPS INCREMENTO'!M11+'IEPS ESTIMACIONES'!M11</f>
        <v>60389.916510649069</v>
      </c>
      <c r="N9" s="665">
        <f>'IEPS INCREMENTO'!N11+'IEPS ESTIMACIONES'!N11</f>
        <v>59813.052411021352</v>
      </c>
      <c r="O9" s="666">
        <f t="shared" si="0"/>
        <v>831566.73325000005</v>
      </c>
    </row>
    <row r="10" spans="1:15" x14ac:dyDescent="0.2">
      <c r="A10" s="663" t="s">
        <v>286</v>
      </c>
      <c r="B10" s="675"/>
      <c r="C10" s="665">
        <f>'IEPS INCREMENTO'!C12+'IEPS ESTIMACIONES'!C12</f>
        <v>162716.89732656282</v>
      </c>
      <c r="D10" s="665">
        <f>'IEPS INCREMENTO'!D12+'IEPS ESTIMACIONES'!D12</f>
        <v>239173.01104697175</v>
      </c>
      <c r="E10" s="665">
        <f>'IEPS INCREMENTO'!E12+'IEPS ESTIMACIONES'!E12</f>
        <v>184778.22653477397</v>
      </c>
      <c r="F10" s="665">
        <f>'IEPS INCREMENTO'!F12+'IEPS ESTIMACIONES'!F12</f>
        <v>158501.28940699704</v>
      </c>
      <c r="G10" s="665">
        <f>'IEPS INCREMENTO'!G12+'IEPS ESTIMACIONES'!G12</f>
        <v>166587.71769693188</v>
      </c>
      <c r="H10" s="665">
        <f>'IEPS INCREMENTO'!H12+'IEPS ESTIMACIONES'!H12</f>
        <v>175969.55399510154</v>
      </c>
      <c r="I10" s="665">
        <f>'IEPS INCREMENTO'!I12+'IEPS ESTIMACIONES'!I12</f>
        <v>179648.13297301767</v>
      </c>
      <c r="J10" s="665">
        <f>'IEPS INCREMENTO'!J12+'IEPS ESTIMACIONES'!J12</f>
        <v>192367.42618171324</v>
      </c>
      <c r="K10" s="665">
        <f>'IEPS INCREMENTO'!K12+'IEPS ESTIMACIONES'!K12</f>
        <v>189525.89797252975</v>
      </c>
      <c r="L10" s="665">
        <f>'IEPS INCREMENTO'!L12+'IEPS ESTIMACIONES'!L12</f>
        <v>173652.15229571451</v>
      </c>
      <c r="M10" s="665">
        <f>'IEPS INCREMENTO'!M12+'IEPS ESTIMACIONES'!M12</f>
        <v>168039.95669838422</v>
      </c>
      <c r="N10" s="665">
        <f>'IEPS INCREMENTO'!N12+'IEPS ESTIMACIONES'!N12</f>
        <v>167890.47112130228</v>
      </c>
      <c r="O10" s="666">
        <f t="shared" si="0"/>
        <v>2158850.7332500005</v>
      </c>
    </row>
    <row r="11" spans="1:15" x14ac:dyDescent="0.2">
      <c r="A11" s="663" t="s">
        <v>153</v>
      </c>
      <c r="B11" s="675"/>
      <c r="C11" s="665">
        <f>'IEPS INCREMENTO'!C13+'IEPS ESTIMACIONES'!C13</f>
        <v>160114.50178057552</v>
      </c>
      <c r="D11" s="665">
        <f>'IEPS INCREMENTO'!D13+'IEPS ESTIMACIONES'!D13</f>
        <v>235202.65432132158</v>
      </c>
      <c r="E11" s="665">
        <f>'IEPS INCREMENTO'!E13+'IEPS ESTIMACIONES'!E13</f>
        <v>182048.70257907567</v>
      </c>
      <c r="F11" s="665">
        <f>'IEPS INCREMENTO'!F13+'IEPS ESTIMACIONES'!F13</f>
        <v>155400.72166362891</v>
      </c>
      <c r="G11" s="665">
        <f>'IEPS INCREMENTO'!G13+'IEPS ESTIMACIONES'!G13</f>
        <v>163633.67268971313</v>
      </c>
      <c r="H11" s="665">
        <f>'IEPS INCREMENTO'!H13+'IEPS ESTIMACIONES'!H13</f>
        <v>172881.23087659813</v>
      </c>
      <c r="I11" s="665">
        <f>'IEPS INCREMENTO'!I13+'IEPS ESTIMACIONES'!I13</f>
        <v>176509.71088822806</v>
      </c>
      <c r="J11" s="665">
        <f>'IEPS INCREMENTO'!J13+'IEPS ESTIMACIONES'!J13</f>
        <v>189111.47172172237</v>
      </c>
      <c r="K11" s="665">
        <f>'IEPS INCREMENTO'!K13+'IEPS ESTIMACIONES'!K13</f>
        <v>186375.92875642082</v>
      </c>
      <c r="L11" s="665">
        <f>'IEPS INCREMENTO'!L13+'IEPS ESTIMACIONES'!L13</f>
        <v>170573.35962533456</v>
      </c>
      <c r="M11" s="665">
        <f>'IEPS INCREMENTO'!M13+'IEPS ESTIMACIONES'!M13</f>
        <v>165031.1046434475</v>
      </c>
      <c r="N11" s="665">
        <f>'IEPS INCREMENTO'!N13+'IEPS ESTIMACIONES'!N13</f>
        <v>164869.67370393415</v>
      </c>
      <c r="O11" s="666">
        <f t="shared" si="0"/>
        <v>2121752.7332500005</v>
      </c>
    </row>
    <row r="12" spans="1:15" x14ac:dyDescent="0.2">
      <c r="A12" s="663" t="s">
        <v>154</v>
      </c>
      <c r="B12" s="675"/>
      <c r="C12" s="665">
        <f>'IEPS INCREMENTO'!C14+'IEPS ESTIMACIONES'!C14</f>
        <v>90572.709690582284</v>
      </c>
      <c r="D12" s="665">
        <f>'IEPS INCREMENTO'!D14+'IEPS ESTIMACIONES'!D14</f>
        <v>129105.89959700406</v>
      </c>
      <c r="E12" s="665">
        <f>'IEPS INCREMENTO'!E14+'IEPS ESTIMACIONES'!E14</f>
        <v>109109.75687402723</v>
      </c>
      <c r="F12" s="665">
        <f>'IEPS INCREMENTO'!F14+'IEPS ESTIMACIONES'!F14</f>
        <v>72546.661410291737</v>
      </c>
      <c r="G12" s="665">
        <f>'IEPS INCREMENTO'!G14+'IEPS ESTIMACIONES'!G14</f>
        <v>84695.025552368053</v>
      </c>
      <c r="H12" s="665">
        <f>'IEPS INCREMENTO'!H14+'IEPS ESTIMACIONES'!H14</f>
        <v>90354.374209924601</v>
      </c>
      <c r="I12" s="665">
        <f>'IEPS INCREMENTO'!I14+'IEPS ESTIMACIONES'!I14</f>
        <v>92644.098511350341</v>
      </c>
      <c r="J12" s="665">
        <f>'IEPS INCREMENTO'!J14+'IEPS ESTIMACIONES'!J14</f>
        <v>102105.1330964114</v>
      </c>
      <c r="K12" s="665">
        <f>'IEPS INCREMENTO'!K14+'IEPS ESTIMACIONES'!K14</f>
        <v>102201.75137039935</v>
      </c>
      <c r="L12" s="665">
        <f>'IEPS INCREMENTO'!L14+'IEPS ESTIMACIONES'!L14</f>
        <v>88301.177711293232</v>
      </c>
      <c r="M12" s="665">
        <f>'IEPS INCREMENTO'!M14+'IEPS ESTIMACIONES'!M14</f>
        <v>84627.891397639134</v>
      </c>
      <c r="N12" s="665">
        <f>'IEPS INCREMENTO'!N14+'IEPS ESTIMACIONES'!N14</f>
        <v>84147.253828708825</v>
      </c>
      <c r="O12" s="666">
        <f t="shared" si="0"/>
        <v>1130411.7332500003</v>
      </c>
    </row>
    <row r="13" spans="1:15" x14ac:dyDescent="0.2">
      <c r="A13" s="663" t="s">
        <v>155</v>
      </c>
      <c r="B13" s="675"/>
      <c r="C13" s="665">
        <f>'IEPS INCREMENTO'!C15+'IEPS ESTIMACIONES'!C15</f>
        <v>98669.051389209359</v>
      </c>
      <c r="D13" s="665">
        <f>'IEPS INCREMENTO'!D15+'IEPS ESTIMACIONES'!D15</f>
        <v>141458.12052124893</v>
      </c>
      <c r="E13" s="665">
        <f>'IEPS INCREMENTO'!E15+'IEPS ESTIMACIONES'!E15</f>
        <v>117601.6091806441</v>
      </c>
      <c r="F13" s="665">
        <f>'IEPS INCREMENTO'!F15+'IEPS ESTIMACIONES'!F15</f>
        <v>82192.872167437032</v>
      </c>
      <c r="G13" s="665">
        <f>'IEPS INCREMENTO'!G15+'IEPS ESTIMACIONES'!G15</f>
        <v>93885.387797048577</v>
      </c>
      <c r="H13" s="665">
        <f>'IEPS INCREMENTO'!H15+'IEPS ESTIMACIONES'!H15</f>
        <v>99962.490578601777</v>
      </c>
      <c r="I13" s="665">
        <f>'IEPS INCREMENTO'!I15+'IEPS ESTIMACIONES'!I15</f>
        <v>102408.07833069577</v>
      </c>
      <c r="J13" s="665">
        <f>'IEPS INCREMENTO'!J15+'IEPS ESTIMACIONES'!J15</f>
        <v>112234.7691941607</v>
      </c>
      <c r="K13" s="665">
        <f>'IEPS INCREMENTO'!K15+'IEPS ESTIMACIONES'!K15</f>
        <v>112001.65559829373</v>
      </c>
      <c r="L13" s="665">
        <f>'IEPS INCREMENTO'!L15+'IEPS ESTIMACIONES'!L15</f>
        <v>97879.64379691967</v>
      </c>
      <c r="M13" s="665">
        <f>'IEPS INCREMENTO'!M15+'IEPS ESTIMACIONES'!M15</f>
        <v>93988.764457442187</v>
      </c>
      <c r="N13" s="665">
        <f>'IEPS INCREMENTO'!N15+'IEPS ESTIMACIONES'!N15</f>
        <v>93545.290238298476</v>
      </c>
      <c r="O13" s="666">
        <f t="shared" si="0"/>
        <v>1245827.7332500003</v>
      </c>
    </row>
    <row r="14" spans="1:15" x14ac:dyDescent="0.2">
      <c r="A14" s="663" t="s">
        <v>156</v>
      </c>
      <c r="B14" s="675"/>
      <c r="C14" s="665">
        <f>'IEPS INCREMENTO'!C16+'IEPS ESTIMACIONES'!C16</f>
        <v>154186.82303693786</v>
      </c>
      <c r="D14" s="665">
        <f>'IEPS INCREMENTO'!D16+'IEPS ESTIMACIONES'!D16</f>
        <v>226159.06400178518</v>
      </c>
      <c r="E14" s="665">
        <f>'IEPS INCREMENTO'!E16+'IEPS ESTIMACIONES'!E16</f>
        <v>175831.45356887404</v>
      </c>
      <c r="F14" s="665">
        <f>'IEPS INCREMENTO'!F16+'IEPS ESTIMACIONES'!F16</f>
        <v>148338.31735929041</v>
      </c>
      <c r="G14" s="665">
        <f>'IEPS INCREMENTO'!G16+'IEPS ESTIMACIONES'!G16</f>
        <v>156905.01461771491</v>
      </c>
      <c r="H14" s="665">
        <f>'IEPS INCREMENTO'!H16+'IEPS ESTIMACIONES'!H16</f>
        <v>165846.71710667378</v>
      </c>
      <c r="I14" s="665">
        <f>'IEPS INCREMENTO'!I16+'IEPS ESTIMACIONES'!I16</f>
        <v>169361.0828062073</v>
      </c>
      <c r="J14" s="665">
        <f>'IEPS INCREMENTO'!J16+'IEPS ESTIMACIONES'!J16</f>
        <v>181695.13100729877</v>
      </c>
      <c r="K14" s="665">
        <f>'IEPS INCREMENTO'!K16+'IEPS ESTIMACIONES'!K16</f>
        <v>179200.99887528387</v>
      </c>
      <c r="L14" s="665">
        <f>'IEPS INCREMENTO'!L16+'IEPS ESTIMACIONES'!L16</f>
        <v>163560.55409835809</v>
      </c>
      <c r="M14" s="665">
        <f>'IEPS INCREMENTO'!M16+'IEPS ESTIMACIONES'!M16</f>
        <v>158177.6082960917</v>
      </c>
      <c r="N14" s="665">
        <f>'IEPS INCREMENTO'!N16+'IEPS ESTIMACIONES'!N16</f>
        <v>157988.96847548461</v>
      </c>
      <c r="O14" s="666">
        <f t="shared" si="0"/>
        <v>2037251.7332500005</v>
      </c>
    </row>
    <row r="15" spans="1:15" x14ac:dyDescent="0.2">
      <c r="A15" s="663" t="s">
        <v>157</v>
      </c>
      <c r="B15" s="675"/>
      <c r="C15" s="665">
        <f>'IEPS INCREMENTO'!C17+'IEPS ESTIMACIONES'!C17</f>
        <v>97801.586207213608</v>
      </c>
      <c r="D15" s="665">
        <f>'IEPS INCREMENTO'!D17+'IEPS ESTIMACIONES'!D17</f>
        <v>140134.66827936555</v>
      </c>
      <c r="E15" s="665">
        <f>'IEPS INCREMENTO'!E17+'IEPS ESTIMACIONES'!E17</f>
        <v>116691.76786207801</v>
      </c>
      <c r="F15" s="665">
        <f>'IEPS INCREMENTO'!F17+'IEPS ESTIMACIONES'!F17</f>
        <v>81159.349586314318</v>
      </c>
      <c r="G15" s="665">
        <f>'IEPS INCREMENTO'!G17+'IEPS ESTIMACIONES'!G17</f>
        <v>92900.70612797566</v>
      </c>
      <c r="H15" s="665">
        <f>'IEPS INCREMENTO'!H17+'IEPS ESTIMACIONES'!H17</f>
        <v>98933.049539100655</v>
      </c>
      <c r="I15" s="665">
        <f>'IEPS INCREMENTO'!I17+'IEPS ESTIMACIONES'!I17</f>
        <v>101361.93763576591</v>
      </c>
      <c r="J15" s="665">
        <f>'IEPS INCREMENTO'!J17+'IEPS ESTIMACIONES'!J17</f>
        <v>111149.45104083042</v>
      </c>
      <c r="K15" s="665">
        <f>'IEPS INCREMENTO'!K17+'IEPS ESTIMACIONES'!K17</f>
        <v>110951.66585959078</v>
      </c>
      <c r="L15" s="665">
        <f>'IEPS INCREMENTO'!L17+'IEPS ESTIMACIONES'!L17</f>
        <v>96853.379573459708</v>
      </c>
      <c r="M15" s="665">
        <f>'IEPS INCREMENTO'!M17+'IEPS ESTIMACIONES'!M17</f>
        <v>92985.813772463298</v>
      </c>
      <c r="N15" s="665">
        <f>'IEPS INCREMENTO'!N17+'IEPS ESTIMACIONES'!N17</f>
        <v>92538.357765842447</v>
      </c>
      <c r="O15" s="666">
        <f t="shared" si="0"/>
        <v>1233461.7332500003</v>
      </c>
    </row>
    <row r="16" spans="1:15" x14ac:dyDescent="0.2">
      <c r="A16" s="663" t="s">
        <v>158</v>
      </c>
      <c r="B16" s="675"/>
      <c r="C16" s="665">
        <f>'IEPS INCREMENTO'!C18+'IEPS ESTIMACIONES'!C18</f>
        <v>87247.426492931889</v>
      </c>
      <c r="D16" s="665">
        <f>'IEPS INCREMENTO'!D18+'IEPS ESTIMACIONES'!D18</f>
        <v>124032.66600311777</v>
      </c>
      <c r="E16" s="665">
        <f>'IEPS INCREMENTO'!E18+'IEPS ESTIMACIONES'!E18</f>
        <v>105622.03181952387</v>
      </c>
      <c r="F16" s="665">
        <f>'IEPS INCREMENTO'!F18+'IEPS ESTIMACIONES'!F18</f>
        <v>68584.824849321361</v>
      </c>
      <c r="G16" s="665">
        <f>'IEPS INCREMENTO'!G18+'IEPS ESTIMACIONES'!G18</f>
        <v>80920.412487588575</v>
      </c>
      <c r="H16" s="665">
        <f>'IEPS INCREMENTO'!H18+'IEPS ESTIMACIONES'!H18</f>
        <v>86408.183558503632</v>
      </c>
      <c r="I16" s="665">
        <f>'IEPS INCREMENTO'!I18+'IEPS ESTIMACIONES'!I18</f>
        <v>88633.892514119187</v>
      </c>
      <c r="J16" s="665">
        <f>'IEPS INCREMENTO'!J18+'IEPS ESTIMACIONES'!J18</f>
        <v>97944.74684197866</v>
      </c>
      <c r="K16" s="665">
        <f>'IEPS INCREMENTO'!K18+'IEPS ESTIMACIONES'!K18</f>
        <v>98176.790705371299</v>
      </c>
      <c r="L16" s="665">
        <f>'IEPS INCREMENTO'!L18+'IEPS ESTIMACIONES'!L18</f>
        <v>84367.164854696675</v>
      </c>
      <c r="M16" s="665">
        <f>'IEPS INCREMENTO'!M18+'IEPS ESTIMACIONES'!M18</f>
        <v>80783.247105220027</v>
      </c>
      <c r="N16" s="665">
        <f>'IEPS INCREMENTO'!N18+'IEPS ESTIMACIONES'!N18</f>
        <v>80287.346017627366</v>
      </c>
      <c r="O16" s="666">
        <f t="shared" si="0"/>
        <v>1083008.7332500003</v>
      </c>
    </row>
    <row r="17" spans="1:15" x14ac:dyDescent="0.2">
      <c r="A17" s="663" t="s">
        <v>159</v>
      </c>
      <c r="B17" s="675"/>
      <c r="C17" s="665">
        <f>'IEPS INCREMENTO'!C19+'IEPS ESTIMACIONES'!C19</f>
        <v>69175.2352013536</v>
      </c>
      <c r="D17" s="665">
        <f>'IEPS INCREMENTO'!D19+'IEPS ESTIMACIONES'!D19</f>
        <v>96460.744297214056</v>
      </c>
      <c r="E17" s="665">
        <f>'IEPS INCREMENTO'!E19+'IEPS ESTIMACIONES'!E19</f>
        <v>86667.004349396928</v>
      </c>
      <c r="F17" s="665">
        <f>'IEPS INCREMENTO'!F19+'IEPS ESTIMACIONES'!F19</f>
        <v>47053.104409264917</v>
      </c>
      <c r="G17" s="665">
        <f>'IEPS INCREMENTO'!G19+'IEPS ESTIMACIONES'!G19</f>
        <v>60406.211048569567</v>
      </c>
      <c r="H17" s="665">
        <f>'IEPS INCREMENTO'!H19+'IEPS ESTIMACIONES'!H19</f>
        <v>64961.495235563525</v>
      </c>
      <c r="I17" s="665">
        <f>'IEPS INCREMENTO'!I19+'IEPS ESTIMACIONES'!I19</f>
        <v>66839.294703080275</v>
      </c>
      <c r="J17" s="665">
        <f>'IEPS INCREMENTO'!J19+'IEPS ESTIMACIONES'!J19</f>
        <v>75333.951980931102</v>
      </c>
      <c r="K17" s="665">
        <f>'IEPS INCREMENTO'!K19+'IEPS ESTIMACIONES'!K19</f>
        <v>76302.004482392746</v>
      </c>
      <c r="L17" s="665">
        <f>'IEPS INCREMENTO'!L19+'IEPS ESTIMACIONES'!L19</f>
        <v>62986.660199280515</v>
      </c>
      <c r="M17" s="665">
        <f>'IEPS INCREMENTO'!M19+'IEPS ESTIMACIONES'!M19</f>
        <v>59888.441168159625</v>
      </c>
      <c r="N17" s="665">
        <f>'IEPS INCREMENTO'!N19+'IEPS ESTIMACIONES'!N19</f>
        <v>59309.58617479333</v>
      </c>
      <c r="O17" s="666">
        <f t="shared" si="0"/>
        <v>825383.73325000005</v>
      </c>
    </row>
    <row r="18" spans="1:15" x14ac:dyDescent="0.2">
      <c r="A18" s="663" t="s">
        <v>287</v>
      </c>
      <c r="B18" s="675"/>
      <c r="C18" s="665">
        <f>'IEPS INCREMENTO'!C20+'IEPS ESTIMACIONES'!C20</f>
        <v>122090.61130309482</v>
      </c>
      <c r="D18" s="665">
        <f>'IEPS INCREMENTO'!D20+'IEPS ESTIMACIONES'!D20</f>
        <v>177191.33105210017</v>
      </c>
      <c r="E18" s="665">
        <f>'IEPS INCREMENTO'!E20+'IEPS ESTIMACIONES'!E20</f>
        <v>142167.32478192862</v>
      </c>
      <c r="F18" s="665">
        <f>'IEPS INCREMENTO'!F20+'IEPS ESTIMACIONES'!F20</f>
        <v>110097.98185775019</v>
      </c>
      <c r="G18" s="665">
        <f>'IEPS INCREMENTO'!G20+'IEPS ESTIMACIONES'!G20</f>
        <v>120471.79286201719</v>
      </c>
      <c r="H18" s="665">
        <f>'IEPS INCREMENTO'!H20+'IEPS ESTIMACIONES'!H20</f>
        <v>127757.39864513217</v>
      </c>
      <c r="I18" s="665">
        <f>'IEPS INCREMENTO'!I20+'IEPS ESTIMACIONES'!I20</f>
        <v>130653.87709380221</v>
      </c>
      <c r="J18" s="665">
        <f>'IEPS INCREMENTO'!J20+'IEPS ESTIMACIONES'!J20</f>
        <v>141538.35933407833</v>
      </c>
      <c r="K18" s="665">
        <f>'IEPS INCREMENTO'!K20+'IEPS ESTIMACIONES'!K20</f>
        <v>140351.37854327395</v>
      </c>
      <c r="L18" s="665">
        <f>'IEPS INCREMENTO'!L20+'IEPS ESTIMACIONES'!L20</f>
        <v>125588.77783033901</v>
      </c>
      <c r="M18" s="665">
        <f>'IEPS INCREMENTO'!M20+'IEPS ESTIMACIONES'!M20</f>
        <v>121068.43295187247</v>
      </c>
      <c r="N18" s="665">
        <f>'IEPS INCREMENTO'!N20+'IEPS ESTIMACIONES'!N20</f>
        <v>120732.46699461139</v>
      </c>
      <c r="O18" s="666">
        <f t="shared" si="0"/>
        <v>1579709.7332500005</v>
      </c>
    </row>
    <row r="19" spans="1:15" x14ac:dyDescent="0.2">
      <c r="A19" s="663" t="s">
        <v>288</v>
      </c>
      <c r="B19" s="675"/>
      <c r="C19" s="665">
        <f>'IEPS INCREMENTO'!C21+'IEPS ESTIMACIONES'!C21</f>
        <v>98669.051389209359</v>
      </c>
      <c r="D19" s="665">
        <f>'IEPS INCREMENTO'!D21+'IEPS ESTIMACIONES'!D21</f>
        <v>141458.12052124893</v>
      </c>
      <c r="E19" s="665">
        <f>'IEPS INCREMENTO'!E21+'IEPS ESTIMACIONES'!E21</f>
        <v>117601.6091806441</v>
      </c>
      <c r="F19" s="665">
        <f>'IEPS INCREMENTO'!F21+'IEPS ESTIMACIONES'!F21</f>
        <v>82192.872167437032</v>
      </c>
      <c r="G19" s="665">
        <f>'IEPS INCREMENTO'!G21+'IEPS ESTIMACIONES'!G21</f>
        <v>93885.387797048577</v>
      </c>
      <c r="H19" s="665">
        <f>'IEPS INCREMENTO'!H21+'IEPS ESTIMACIONES'!H21</f>
        <v>99962.490578601777</v>
      </c>
      <c r="I19" s="665">
        <f>'IEPS INCREMENTO'!I21+'IEPS ESTIMACIONES'!I21</f>
        <v>102408.07833069577</v>
      </c>
      <c r="J19" s="665">
        <f>'IEPS INCREMENTO'!J21+'IEPS ESTIMACIONES'!J21</f>
        <v>112234.7691941607</v>
      </c>
      <c r="K19" s="665">
        <f>'IEPS INCREMENTO'!K21+'IEPS ESTIMACIONES'!K21</f>
        <v>112001.65559829373</v>
      </c>
      <c r="L19" s="665">
        <f>'IEPS INCREMENTO'!L21+'IEPS ESTIMACIONES'!L21</f>
        <v>97879.64379691967</v>
      </c>
      <c r="M19" s="665">
        <f>'IEPS INCREMENTO'!M21+'IEPS ESTIMACIONES'!M21</f>
        <v>93988.764457442187</v>
      </c>
      <c r="N19" s="665">
        <f>'IEPS INCREMENTO'!N21+'IEPS ESTIMACIONES'!N21</f>
        <v>93545.290238298476</v>
      </c>
      <c r="O19" s="666">
        <f t="shared" si="0"/>
        <v>1245827.7332500003</v>
      </c>
    </row>
    <row r="20" spans="1:15" x14ac:dyDescent="0.2">
      <c r="A20" s="663" t="s">
        <v>289</v>
      </c>
      <c r="B20" s="675"/>
      <c r="C20" s="665">
        <f>'IEPS INCREMENTO'!C22+'IEPS ESTIMACIONES'!C22</f>
        <v>49801.846136781678</v>
      </c>
      <c r="D20" s="665">
        <f>'IEPS INCREMENTO'!D22+'IEPS ESTIMACIONES'!D22</f>
        <v>66903.644228485267</v>
      </c>
      <c r="E20" s="665">
        <f>'IEPS INCREMENTO'!E22+'IEPS ESTIMACIONES'!E22</f>
        <v>66347.214901420855</v>
      </c>
      <c r="F20" s="665">
        <f>'IEPS INCREMENTO'!F22+'IEPS ESTIMACIONES'!F22</f>
        <v>23971.100097524424</v>
      </c>
      <c r="G20" s="665">
        <f>'IEPS INCREMENTO'!G22+'IEPS ESTIMACIONES'!G22</f>
        <v>38414.987105941211</v>
      </c>
      <c r="H20" s="665">
        <f>'IEPS INCREMENTO'!H22+'IEPS ESTIMACIONES'!H22</f>
        <v>41970.645353371729</v>
      </c>
      <c r="I20" s="665">
        <f>'IEPS INCREMENTO'!I22+'IEPS ESTIMACIONES'!I22</f>
        <v>43475.48584964656</v>
      </c>
      <c r="J20" s="665">
        <f>'IEPS INCREMENTO'!J22+'IEPS ESTIMACIONES'!J22</f>
        <v>51095.179889888139</v>
      </c>
      <c r="K20" s="665">
        <f>'IEPS INCREMENTO'!K22+'IEPS ESTIMACIONES'!K22</f>
        <v>52852.233651359726</v>
      </c>
      <c r="L20" s="665">
        <f>'IEPS INCREMENTO'!L22+'IEPS ESTIMACIONES'!L22</f>
        <v>40066.759208674412</v>
      </c>
      <c r="M20" s="665">
        <f>'IEPS INCREMENTO'!M22+'IEPS ESTIMACIONES'!M22</f>
        <v>37489.209203630882</v>
      </c>
      <c r="N20" s="665">
        <f>'IEPS INCREMENTO'!N22+'IEPS ESTIMACIONES'!N22</f>
        <v>36821.42762327526</v>
      </c>
      <c r="O20" s="666">
        <f t="shared" si="0"/>
        <v>549209.73325000016</v>
      </c>
    </row>
    <row r="21" spans="1:15" x14ac:dyDescent="0.2">
      <c r="A21" s="663" t="s">
        <v>163</v>
      </c>
      <c r="B21" s="675"/>
      <c r="C21" s="665">
        <f>'IEPS INCREMENTO'!C23+'IEPS ESTIMACIONES'!C23</f>
        <v>84211.298355946739</v>
      </c>
      <c r="D21" s="665">
        <f>'IEPS INCREMENTO'!D23+'IEPS ESTIMACIONES'!D23</f>
        <v>119400.58315652597</v>
      </c>
      <c r="E21" s="665">
        <f>'IEPS INCREMENTO'!E23+'IEPS ESTIMACIONES'!E23</f>
        <v>102437.58720454255</v>
      </c>
      <c r="F21" s="665">
        <f>'IEPS INCREMENTO'!F23+'IEPS ESTIMACIONES'!F23</f>
        <v>64967.495815391878</v>
      </c>
      <c r="G21" s="665">
        <f>'IEPS INCREMENTO'!G23+'IEPS ESTIMACIONES'!G23</f>
        <v>77474.026645833379</v>
      </c>
      <c r="H21" s="665">
        <f>'IEPS INCREMENTO'!H23+'IEPS ESTIMACIONES'!H23</f>
        <v>82805.139920249698</v>
      </c>
      <c r="I21" s="665">
        <f>'IEPS INCREMENTO'!I23+'IEPS ESTIMACIONES'!I23</f>
        <v>84972.400081864645</v>
      </c>
      <c r="J21" s="665">
        <f>'IEPS INCREMENTO'!J23+'IEPS ESTIMACIONES'!J23</f>
        <v>94146.13330532267</v>
      </c>
      <c r="K21" s="665">
        <f>'IEPS INCREMENTO'!K23+'IEPS ESTIMACIONES'!K23</f>
        <v>94501.826619910891</v>
      </c>
      <c r="L21" s="665">
        <f>'IEPS INCREMENTO'!L23+'IEPS ESTIMACIONES'!L23</f>
        <v>80775.240072586763</v>
      </c>
      <c r="M21" s="665">
        <f>'IEPS INCREMENTO'!M23+'IEPS ESTIMACIONES'!M23</f>
        <v>77272.919707793873</v>
      </c>
      <c r="N21" s="665">
        <f>'IEPS INCREMENTO'!N23+'IEPS ESTIMACIONES'!N23</f>
        <v>76763.082364031259</v>
      </c>
      <c r="O21" s="666">
        <f t="shared" si="0"/>
        <v>1039727.7332500004</v>
      </c>
    </row>
    <row r="22" spans="1:15" x14ac:dyDescent="0.2">
      <c r="A22" s="663" t="s">
        <v>164</v>
      </c>
      <c r="B22" s="675"/>
      <c r="C22" s="665">
        <f>'IEPS INCREMENTO'!C24+'IEPS ESTIMACIONES'!C24</f>
        <v>30573.034602542379</v>
      </c>
      <c r="D22" s="665">
        <f>'IEPS INCREMENTO'!D24+'IEPS ESTIMACIONES'!D24</f>
        <v>37567.119533403704</v>
      </c>
      <c r="E22" s="665">
        <f>'IEPS INCREMENTO'!E24+'IEPS ESTIMACIONES'!E24</f>
        <v>46179.065673205791</v>
      </c>
      <c r="F22" s="665">
        <f>'IEPS INCREMENTO'!F24+'IEPS ESTIMACIONES'!F24</f>
        <v>1061.3495493043711</v>
      </c>
      <c r="G22" s="665">
        <f>'IEPS INCREMENTO'!G24+'IEPS ESTIMACIONES'!G24</f>
        <v>16587.876774825003</v>
      </c>
      <c r="H22" s="665">
        <f>'IEPS INCREMENTO'!H24+'IEPS ESTIMACIONES'!H24</f>
        <v>19151.36897776345</v>
      </c>
      <c r="I22" s="665">
        <f>'IEPS INCREMENTO'!I24+'IEPS ESTIMACIONES'!I24</f>
        <v>20286.033778701163</v>
      </c>
      <c r="J22" s="665">
        <f>'IEPS INCREMENTO'!J24+'IEPS ESTIMACIONES'!J24</f>
        <v>27037.29415773354</v>
      </c>
      <c r="K22" s="665">
        <f>'IEPS INCREMENTO'!K24+'IEPS ESTIMACIONES'!K24</f>
        <v>29577.461110110544</v>
      </c>
      <c r="L22" s="665">
        <f>'IEPS INCREMENTO'!L24+'IEPS ESTIMACIONES'!L24</f>
        <v>17317.902255311627</v>
      </c>
      <c r="M22" s="665">
        <f>'IEPS INCREMENTO'!M24+'IEPS ESTIMACIONES'!M24</f>
        <v>15257.135686598624</v>
      </c>
      <c r="N22" s="665">
        <f>'IEPS INCREMENTO'!N24+'IEPS ESTIMACIONES'!N24</f>
        <v>14501.091150499851</v>
      </c>
      <c r="O22" s="666">
        <f t="shared" si="0"/>
        <v>275096.73325000005</v>
      </c>
    </row>
    <row r="23" spans="1:15" x14ac:dyDescent="0.2">
      <c r="A23" s="663" t="s">
        <v>165</v>
      </c>
      <c r="B23" s="675"/>
      <c r="C23" s="665">
        <f>'IEPS INCREMENTO'!C25+'IEPS ESTIMACIONES'!C25</f>
        <v>79729.394915635319</v>
      </c>
      <c r="D23" s="665">
        <f>'IEPS INCREMENTO'!D25+'IEPS ESTIMACIONES'!D25</f>
        <v>112562.74657346183</v>
      </c>
      <c r="E23" s="665">
        <f>'IEPS INCREMENTO'!E25+'IEPS ESTIMACIONES'!E25</f>
        <v>97736.740391951054</v>
      </c>
      <c r="F23" s="665">
        <f>'IEPS INCREMENTO'!F25+'IEPS ESTIMACIONES'!F25</f>
        <v>59627.629146257874</v>
      </c>
      <c r="G23" s="665">
        <f>'IEPS INCREMENTO'!G25+'IEPS ESTIMACIONES'!G25</f>
        <v>72386.504688956658</v>
      </c>
      <c r="H23" s="665">
        <f>'IEPS INCREMENTO'!H25+'IEPS ESTIMACIONES'!H25</f>
        <v>77486.361216160542</v>
      </c>
      <c r="I23" s="665">
        <f>'IEPS INCREMENTO'!I25+'IEPS ESTIMACIONES'!I25</f>
        <v>79567.339824726994</v>
      </c>
      <c r="J23" s="665">
        <f>'IEPS INCREMENTO'!J25+'IEPS ESTIMACIONES'!J25</f>
        <v>88538.656179782862</v>
      </c>
      <c r="K23" s="665">
        <f>'IEPS INCREMENTO'!K25+'IEPS ESTIMACIONES'!K25</f>
        <v>89076.879636612197</v>
      </c>
      <c r="L23" s="665">
        <f>'IEPS INCREMENTO'!L25+'IEPS ESTIMACIONES'!L25</f>
        <v>75472.874918043541</v>
      </c>
      <c r="M23" s="665">
        <f>'IEPS INCREMENTO'!M25+'IEPS ESTIMACIONES'!M25</f>
        <v>72091.007835402896</v>
      </c>
      <c r="N23" s="665">
        <f>'IEPS INCREMENTO'!N25+'IEPS ESTIMACIONES'!N25</f>
        <v>71560.597923008405</v>
      </c>
      <c r="O23" s="666">
        <f t="shared" si="0"/>
        <v>975836.73325000005</v>
      </c>
    </row>
    <row r="24" spans="1:15" ht="13.5" thickBot="1" x14ac:dyDescent="0.25">
      <c r="A24" s="663" t="s">
        <v>166</v>
      </c>
      <c r="B24" s="676"/>
      <c r="C24" s="665">
        <f>'IEPS INCREMENTO'!C26+'IEPS ESTIMACIONES'!C26</f>
        <v>91729.329933243294</v>
      </c>
      <c r="D24" s="665">
        <f>'IEPS INCREMENTO'!D26+'IEPS ESTIMACIONES'!D26</f>
        <v>130870.50258618192</v>
      </c>
      <c r="E24" s="665">
        <f>'IEPS INCREMENTO'!E26+'IEPS ESTIMACIONES'!E26</f>
        <v>110322.87863211535</v>
      </c>
      <c r="F24" s="665">
        <f>'IEPS INCREMENTO'!F26+'IEPS ESTIMACIONES'!F26</f>
        <v>73924.691518455351</v>
      </c>
      <c r="G24" s="665">
        <f>'IEPS INCREMENTO'!G26+'IEPS ESTIMACIONES'!G26</f>
        <v>86007.934444465282</v>
      </c>
      <c r="H24" s="665">
        <f>'IEPS INCREMENTO'!H26+'IEPS ESTIMACIONES'!H26</f>
        <v>91726.962262592773</v>
      </c>
      <c r="I24" s="665">
        <f>'IEPS INCREMENTO'!I26+'IEPS ESTIMACIONES'!I26</f>
        <v>94038.952771256823</v>
      </c>
      <c r="J24" s="665">
        <f>'IEPS INCREMENTO'!J26+'IEPS ESTIMACIONES'!J26</f>
        <v>103552.22396751844</v>
      </c>
      <c r="K24" s="665">
        <f>'IEPS INCREMENTO'!K26+'IEPS ESTIMACIONES'!K26</f>
        <v>103601.73768866996</v>
      </c>
      <c r="L24" s="665">
        <f>'IEPS INCREMENTO'!L26+'IEPS ESTIMACIONES'!L26</f>
        <v>89669.530009239868</v>
      </c>
      <c r="M24" s="665">
        <f>'IEPS INCREMENTO'!M26+'IEPS ESTIMACIONES'!M26</f>
        <v>85965.15897761099</v>
      </c>
      <c r="N24" s="665">
        <f>'IEPS INCREMENTO'!N26+'IEPS ESTIMACIONES'!N26</f>
        <v>85489.830458650205</v>
      </c>
      <c r="O24" s="666">
        <f t="shared" si="0"/>
        <v>1146899.73325</v>
      </c>
    </row>
    <row r="25" spans="1:15" ht="13.5" thickBot="1" x14ac:dyDescent="0.25">
      <c r="A25" s="668" t="s">
        <v>290</v>
      </c>
      <c r="B25" s="669">
        <f>SUM(B5:B24)</f>
        <v>0</v>
      </c>
      <c r="C25" s="670">
        <f>SUM(C5:C24)</f>
        <v>1950248.6229309668</v>
      </c>
      <c r="D25" s="670">
        <f t="shared" ref="D25:O25" si="1">SUM(D5:D24)</f>
        <v>2793870.350641422</v>
      </c>
      <c r="E25" s="670">
        <f t="shared" si="1"/>
        <v>2327769.7484511193</v>
      </c>
      <c r="F25" s="670">
        <f t="shared" si="1"/>
        <v>1616296.8411854682</v>
      </c>
      <c r="G25" s="670">
        <f t="shared" si="1"/>
        <v>1851449.5780990268</v>
      </c>
      <c r="H25" s="670">
        <f t="shared" si="1"/>
        <v>1971798.0505186722</v>
      </c>
      <c r="I25" s="670">
        <f t="shared" si="1"/>
        <v>2020264.4814157858</v>
      </c>
      <c r="J25" s="670">
        <f t="shared" si="1"/>
        <v>2215753.5664610737</v>
      </c>
      <c r="K25" s="670">
        <f t="shared" si="1"/>
        <v>2212033.3856004621</v>
      </c>
      <c r="L25" s="670">
        <f t="shared" si="1"/>
        <v>1930225.8299794609</v>
      </c>
      <c r="M25" s="670">
        <f t="shared" si="1"/>
        <v>1853029.9375494067</v>
      </c>
      <c r="N25" s="670">
        <f t="shared" si="1"/>
        <v>1844054.2721671418</v>
      </c>
      <c r="O25" s="670">
        <f t="shared" si="1"/>
        <v>24586794.664999999</v>
      </c>
    </row>
    <row r="26" spans="1:15" hidden="1" x14ac:dyDescent="0.2">
      <c r="A26" s="679" t="s">
        <v>355</v>
      </c>
      <c r="B26" s="679"/>
      <c r="C26" s="680">
        <f>'[4]PRESUPUSTO ESTATAL 2017'!B52</f>
        <v>1521250.4468291907</v>
      </c>
      <c r="D26" s="680">
        <f>'[4]PRESUPUSTO ESTATAL 2017'!C52</f>
        <v>1992155.4322061262</v>
      </c>
      <c r="E26" s="680">
        <f>'[4]PRESUPUSTO ESTATAL 2017'!D52</f>
        <v>1561223.5204092669</v>
      </c>
      <c r="F26" s="680">
        <f>'[4]PRESUPUSTO ESTATAL 2017'!E52</f>
        <v>1709133.4840227321</v>
      </c>
      <c r="G26" s="680">
        <f>'[4]PRESUPUSTO ESTATAL 2017'!F52</f>
        <v>1794276.5472658337</v>
      </c>
      <c r="H26" s="680">
        <f>'[4]PRESUPUSTO ESTATAL 2017'!G52</f>
        <v>1664193.9164477964</v>
      </c>
      <c r="I26" s="680">
        <f>'[4]PRESUPUSTO ESTATAL 2017'!H52</f>
        <v>1722567.8942233375</v>
      </c>
      <c r="J26" s="680">
        <f>'[4]PRESUPUSTO ESTATAL 2017'!I52</f>
        <v>1774773.0179705636</v>
      </c>
      <c r="K26" s="680">
        <f>'[4]PRESUPUSTO ESTATAL 2017'!J52</f>
        <v>1814273.0193366187</v>
      </c>
      <c r="L26" s="680">
        <f>'[4]PRESUPUSTO ESTATAL 2017'!K52</f>
        <v>1772942.0603667807</v>
      </c>
      <c r="M26" s="680">
        <f>'[4]PRESUPUSTO ESTATAL 2017'!L52</f>
        <v>1696337.0334839264</v>
      </c>
      <c r="N26" s="680">
        <f>'[4]PRESUPUSTO ESTATAL 2017'!M52</f>
        <v>1676873.6274378267</v>
      </c>
      <c r="O26" s="680">
        <f>SUM(C26:N26)</f>
        <v>20700000</v>
      </c>
    </row>
    <row r="27" spans="1:15" hidden="1" x14ac:dyDescent="0.2">
      <c r="A27" s="681" t="s">
        <v>356</v>
      </c>
      <c r="B27" s="681"/>
      <c r="C27" s="682">
        <f>C26-C25</f>
        <v>-428998.17610177607</v>
      </c>
      <c r="D27" s="682">
        <f t="shared" ref="D27:O27" si="2">D26-D25</f>
        <v>-801714.91843529581</v>
      </c>
      <c r="E27" s="682">
        <f t="shared" si="2"/>
        <v>-766546.22804185236</v>
      </c>
      <c r="F27" s="682">
        <f t="shared" si="2"/>
        <v>92836.642837263877</v>
      </c>
      <c r="G27" s="682">
        <f t="shared" si="2"/>
        <v>-57173.030833193101</v>
      </c>
      <c r="H27" s="682">
        <f t="shared" si="2"/>
        <v>-307604.13407087582</v>
      </c>
      <c r="I27" s="682">
        <f t="shared" si="2"/>
        <v>-297696.58719244832</v>
      </c>
      <c r="J27" s="682">
        <f t="shared" si="2"/>
        <v>-440980.54849051009</v>
      </c>
      <c r="K27" s="682">
        <f t="shared" si="2"/>
        <v>-397760.36626384337</v>
      </c>
      <c r="L27" s="682">
        <f t="shared" si="2"/>
        <v>-157283.76961268019</v>
      </c>
      <c r="M27" s="682">
        <f t="shared" si="2"/>
        <v>-156692.90406548022</v>
      </c>
      <c r="N27" s="682">
        <f t="shared" si="2"/>
        <v>-167180.64472931507</v>
      </c>
      <c r="O27" s="682">
        <f t="shared" si="2"/>
        <v>-3886794.6649999991</v>
      </c>
    </row>
    <row r="28" spans="1:15" x14ac:dyDescent="0.2">
      <c r="A28" s="672" t="s">
        <v>291</v>
      </c>
    </row>
    <row r="29" spans="1:15" x14ac:dyDescent="0.2">
      <c r="D29" s="667"/>
    </row>
    <row r="32" spans="1:15" x14ac:dyDescent="0.2">
      <c r="C32" s="667"/>
      <c r="D32" s="667"/>
      <c r="E32" s="667"/>
      <c r="F32" s="667"/>
      <c r="G32" s="667"/>
      <c r="H32" s="667"/>
      <c r="I32" s="667"/>
      <c r="J32" s="667"/>
      <c r="K32" s="667"/>
      <c r="L32" s="667"/>
      <c r="M32" s="667"/>
      <c r="N32" s="667"/>
      <c r="O32" s="667"/>
    </row>
    <row r="36" spans="11:11" x14ac:dyDescent="0.2">
      <c r="K36" s="667"/>
    </row>
  </sheetData>
  <mergeCells count="2">
    <mergeCell ref="A1:O1"/>
    <mergeCell ref="A2:O2"/>
  </mergeCells>
  <printOptions horizontalCentered="1"/>
  <pageMargins left="0.74803149606299213" right="0.74803149606299213" top="0.98425196850393704" bottom="0.98425196850393704" header="0" footer="0"/>
  <pageSetup paperSize="5"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Q26"/>
  <sheetViews>
    <sheetView workbookViewId="0">
      <selection sqref="A1:O1"/>
    </sheetView>
  </sheetViews>
  <sheetFormatPr baseColWidth="10" defaultRowHeight="12.75" x14ac:dyDescent="0.2"/>
  <cols>
    <col min="1" max="1" width="16.85546875" style="658" customWidth="1"/>
    <col min="2" max="2" width="9.28515625" style="658" hidden="1" customWidth="1"/>
    <col min="3" max="10" width="7.85546875" style="658" bestFit="1" customWidth="1"/>
    <col min="11" max="11" width="9.7109375" style="658" bestFit="1" customWidth="1"/>
    <col min="12" max="12" width="7.85546875" style="658" bestFit="1" customWidth="1"/>
    <col min="13" max="13" width="9.42578125" style="658" bestFit="1" customWidth="1"/>
    <col min="14" max="14" width="8.42578125" style="658" bestFit="1" customWidth="1"/>
    <col min="15" max="15" width="8.7109375" style="658" bestFit="1" customWidth="1"/>
    <col min="16" max="16" width="11.7109375" style="658" bestFit="1" customWidth="1"/>
    <col min="17" max="16384" width="11.42578125" style="658"/>
  </cols>
  <sheetData>
    <row r="1" spans="1:16" x14ac:dyDescent="0.2">
      <c r="A1" s="1020"/>
      <c r="B1" s="1020"/>
      <c r="C1" s="1020"/>
      <c r="D1" s="1020"/>
      <c r="E1" s="1020"/>
      <c r="F1" s="1020"/>
      <c r="G1" s="1020"/>
      <c r="H1" s="1020"/>
      <c r="I1" s="1020"/>
      <c r="J1" s="1020"/>
      <c r="K1" s="1020"/>
      <c r="L1" s="1020"/>
      <c r="M1" s="1020"/>
      <c r="N1" s="1020"/>
      <c r="O1" s="1020"/>
    </row>
    <row r="2" spans="1:16" x14ac:dyDescent="0.2">
      <c r="A2" s="1021" t="s">
        <v>471</v>
      </c>
      <c r="B2" s="1021"/>
      <c r="C2" s="1021"/>
      <c r="D2" s="1021"/>
      <c r="E2" s="1021"/>
      <c r="F2" s="1021"/>
      <c r="G2" s="1021"/>
      <c r="H2" s="1021"/>
      <c r="I2" s="1021"/>
      <c r="J2" s="1021"/>
      <c r="K2" s="1021"/>
      <c r="L2" s="1021"/>
      <c r="M2" s="1021"/>
      <c r="N2" s="1021"/>
      <c r="O2" s="1021"/>
    </row>
    <row r="3" spans="1:16" ht="13.5" thickBot="1" x14ac:dyDescent="0.25"/>
    <row r="4" spans="1:16" ht="23.25" thickBot="1" x14ac:dyDescent="0.25">
      <c r="A4" s="659" t="s">
        <v>351</v>
      </c>
      <c r="B4" s="660" t="s">
        <v>283</v>
      </c>
      <c r="C4" s="659" t="s">
        <v>1</v>
      </c>
      <c r="D4" s="661" t="s">
        <v>2</v>
      </c>
      <c r="E4" s="659" t="s">
        <v>3</v>
      </c>
      <c r="F4" s="661" t="s">
        <v>4</v>
      </c>
      <c r="G4" s="659" t="s">
        <v>5</v>
      </c>
      <c r="H4" s="659" t="s">
        <v>6</v>
      </c>
      <c r="I4" s="659" t="s">
        <v>7</v>
      </c>
      <c r="J4" s="661" t="s">
        <v>8</v>
      </c>
      <c r="K4" s="659" t="s">
        <v>9</v>
      </c>
      <c r="L4" s="661" t="s">
        <v>10</v>
      </c>
      <c r="M4" s="659" t="s">
        <v>11</v>
      </c>
      <c r="N4" s="659" t="s">
        <v>12</v>
      </c>
      <c r="O4" s="662" t="s">
        <v>169</v>
      </c>
    </row>
    <row r="5" spans="1:16" x14ac:dyDescent="0.2">
      <c r="A5" s="663" t="s">
        <v>284</v>
      </c>
      <c r="B5" s="674"/>
      <c r="C5" s="665">
        <f>IEPSGASINCREMENTO!C7+'IEPSGAS ESTIMACIONES'!C7</f>
        <v>137431.83975178687</v>
      </c>
      <c r="D5" s="665">
        <f>IEPSGASINCREMENTO!D7+'IEPSGAS ESTIMACIONES'!D7</f>
        <v>145728.22195906655</v>
      </c>
      <c r="E5" s="665">
        <f>IEPSGASINCREMENTO!E7+'IEPSGAS ESTIMACIONES'!E7</f>
        <v>140879.3102871376</v>
      </c>
      <c r="F5" s="665">
        <f>IEPSGASINCREMENTO!F7+'IEPSGAS ESTIMACIONES'!F7</f>
        <v>152121.92025573982</v>
      </c>
      <c r="G5" s="665">
        <f>IEPSGASINCREMENTO!G7+'IEPSGAS ESTIMACIONES'!G7</f>
        <v>151604.94765381745</v>
      </c>
      <c r="H5" s="665">
        <f>IEPSGASINCREMENTO!H7+'IEPSGAS ESTIMACIONES'!H7</f>
        <v>155436.21662833981</v>
      </c>
      <c r="I5" s="665">
        <f>IEPSGASINCREMENTO!I7+'IEPSGAS ESTIMACIONES'!I7</f>
        <v>148372.75280035194</v>
      </c>
      <c r="J5" s="665">
        <f>IEPSGASINCREMENTO!J7+'IEPSGAS ESTIMACIONES'!J7</f>
        <v>153025.72833902706</v>
      </c>
      <c r="K5" s="665">
        <f>IEPSGASINCREMENTO!K7+'IEPSGAS ESTIMACIONES'!K7</f>
        <v>149927.29733047844</v>
      </c>
      <c r="L5" s="665">
        <f>IEPSGASINCREMENTO!L7+'IEPSGAS ESTIMACIONES'!L7</f>
        <v>139833.94378356216</v>
      </c>
      <c r="M5" s="665">
        <f>IEPSGASINCREMENTO!M7+'IEPSGAS ESTIMACIONES'!M7</f>
        <v>145194.77120032051</v>
      </c>
      <c r="N5" s="665">
        <f>IEPSGASINCREMENTO!N7+'IEPSGAS ESTIMACIONES'!N7</f>
        <v>134955.52858249404</v>
      </c>
      <c r="O5" s="666">
        <f>SUM(C5:N5)</f>
        <v>1754512.4785721223</v>
      </c>
      <c r="P5" s="667"/>
    </row>
    <row r="6" spans="1:16" x14ac:dyDescent="0.2">
      <c r="A6" s="663" t="s">
        <v>148</v>
      </c>
      <c r="B6" s="675"/>
      <c r="C6" s="665">
        <f>IEPSGASINCREMENTO!C8+'IEPSGAS ESTIMACIONES'!C8</f>
        <v>56253.125405224797</v>
      </c>
      <c r="D6" s="665">
        <f>IEPSGASINCREMENTO!D8+'IEPSGAS ESTIMACIONES'!D8</f>
        <v>59679.640395976923</v>
      </c>
      <c r="E6" s="665">
        <f>IEPSGASINCREMENTO!E8+'IEPSGAS ESTIMACIONES'!E8</f>
        <v>57597.36443705768</v>
      </c>
      <c r="F6" s="665">
        <f>IEPSGASINCREMENTO!F8+'IEPSGAS ESTIMACIONES'!F8</f>
        <v>62271.687242239554</v>
      </c>
      <c r="G6" s="665">
        <f>IEPSGASINCREMENTO!G8+'IEPSGAS ESTIMACIONES'!G8</f>
        <v>62016.172764326526</v>
      </c>
      <c r="H6" s="665">
        <f>IEPSGASINCREMENTO!H8+'IEPSGAS ESTIMACIONES'!H8</f>
        <v>63626.162732477002</v>
      </c>
      <c r="I6" s="665">
        <f>IEPSGASINCREMENTO!I8+'IEPSGAS ESTIMACIONES'!I8</f>
        <v>60682.52684098285</v>
      </c>
      <c r="J6" s="665">
        <f>IEPSGASINCREMENTO!J8+'IEPSGAS ESTIMACIONES'!J8</f>
        <v>62611.0963128484</v>
      </c>
      <c r="K6" s="665">
        <f>IEPSGASINCREMENTO!K8+'IEPSGAS ESTIMACIONES'!K8</f>
        <v>61360.21015506082</v>
      </c>
      <c r="L6" s="665">
        <f>IEPSGASINCREMENTO!L8+'IEPSGAS ESTIMACIONES'!L8</f>
        <v>57154.327783245397</v>
      </c>
      <c r="M6" s="665">
        <f>IEPSGASINCREMENTO!M8+'IEPSGAS ESTIMACIONES'!M8</f>
        <v>59394.942847712446</v>
      </c>
      <c r="N6" s="665">
        <f>IEPSGASINCREMENTO!N8+'IEPSGAS ESTIMACIONES'!N8</f>
        <v>55328.910053079686</v>
      </c>
      <c r="O6" s="666">
        <f t="shared" ref="O6:O24" si="0">SUM(C6:N6)</f>
        <v>717976.16697023204</v>
      </c>
      <c r="P6" s="667"/>
    </row>
    <row r="7" spans="1:16" x14ac:dyDescent="0.2">
      <c r="A7" s="663" t="s">
        <v>149</v>
      </c>
      <c r="B7" s="675"/>
      <c r="C7" s="665">
        <f>IEPSGASINCREMENTO!C9+'IEPSGAS ESTIMACIONES'!C9</f>
        <v>41365.465133121434</v>
      </c>
      <c r="D7" s="665">
        <f>IEPSGASINCREMENTO!D9+'IEPSGAS ESTIMACIONES'!D9</f>
        <v>43928.507291409798</v>
      </c>
      <c r="E7" s="665">
        <f>IEPSGASINCREMENTO!E9+'IEPSGAS ESTIMACIONES'!E9</f>
        <v>42259.381796128735</v>
      </c>
      <c r="F7" s="665">
        <f>IEPSGASINCREMENTO!F9+'IEPSGAS ESTIMACIONES'!F9</f>
        <v>45799.202454921076</v>
      </c>
      <c r="G7" s="665">
        <f>IEPSGASINCREMENTO!G9+'IEPSGAS ESTIMACIONES'!G9</f>
        <v>45549.215762482971</v>
      </c>
      <c r="H7" s="665">
        <f>IEPSGASINCREMENTO!H9+'IEPSGAS ESTIMACIONES'!H9</f>
        <v>46792.210237558567</v>
      </c>
      <c r="I7" s="665">
        <f>IEPSGASINCREMENTO!I9+'IEPSGAS ESTIMACIONES'!I9</f>
        <v>44553.457399965853</v>
      </c>
      <c r="J7" s="665">
        <f>IEPSGASINCREMENTO!J9+'IEPSGAS ESTIMACIONES'!J9</f>
        <v>46005.60391791154</v>
      </c>
      <c r="K7" s="665">
        <f>IEPSGASINCREMENTO!K9+'IEPSGAS ESTIMACIONES'!K9</f>
        <v>45110.310960767049</v>
      </c>
      <c r="L7" s="665">
        <f>IEPSGASINCREMENTO!L9+'IEPSGAS ESTIMACIONES'!L9</f>
        <v>41912.170871013121</v>
      </c>
      <c r="M7" s="665">
        <f>IEPSGASINCREMENTO!M9+'IEPSGAS ESTIMACIONES'!M9</f>
        <v>43625.329157542437</v>
      </c>
      <c r="N7" s="665">
        <f>IEPSGASINCREMENTO!N9+'IEPSGAS ESTIMACIONES'!N9</f>
        <v>40812.247037160319</v>
      </c>
      <c r="O7" s="666">
        <f t="shared" si="0"/>
        <v>527713.10201998288</v>
      </c>
      <c r="P7" s="667"/>
    </row>
    <row r="8" spans="1:16" x14ac:dyDescent="0.2">
      <c r="A8" s="663" t="s">
        <v>285</v>
      </c>
      <c r="B8" s="675"/>
      <c r="C8" s="665">
        <f>IEPSGASINCREMENTO!C10+'IEPSGAS ESTIMACIONES'!C10</f>
        <v>407945.70604328968</v>
      </c>
      <c r="D8" s="665">
        <f>IEPSGASINCREMENTO!D10+'IEPSGAS ESTIMACIONES'!D10</f>
        <v>447996.76605348208</v>
      </c>
      <c r="E8" s="665">
        <f>IEPSGASINCREMENTO!E10+'IEPSGAS ESTIMACIONES'!E10</f>
        <v>384548.40110316291</v>
      </c>
      <c r="F8" s="665">
        <f>IEPSGASINCREMENTO!F10+'IEPSGAS ESTIMACIONES'!F10</f>
        <v>454402.11888597289</v>
      </c>
      <c r="G8" s="665">
        <f>IEPSGASINCREMENTO!G10+'IEPSGAS ESTIMACIONES'!G10</f>
        <v>430783.84090888395</v>
      </c>
      <c r="H8" s="665">
        <f>IEPSGASINCREMENTO!H10+'IEPSGAS ESTIMACIONES'!H10</f>
        <v>463173.44758922717</v>
      </c>
      <c r="I8" s="665">
        <f>IEPSGASINCREMENTO!I10+'IEPSGAS ESTIMACIONES'!I10</f>
        <v>415830.65339870367</v>
      </c>
      <c r="J8" s="665">
        <f>IEPSGASINCREMENTO!J10+'IEPSGAS ESTIMACIONES'!J10</f>
        <v>441727.82461915177</v>
      </c>
      <c r="K8" s="665">
        <f>IEPSGASINCREMENTO!K10+'IEPSGAS ESTIMACIONES'!K10</f>
        <v>441258.11422306753</v>
      </c>
      <c r="L8" s="665">
        <f>IEPSGASINCREMENTO!L10+'IEPSGAS ESTIMACIONES'!L10</f>
        <v>373825.38096349547</v>
      </c>
      <c r="M8" s="665">
        <f>IEPSGASINCREMENTO!M10+'IEPSGAS ESTIMACIONES'!M10</f>
        <v>413044.40626162483</v>
      </c>
      <c r="N8" s="665">
        <f>IEPSGASINCREMENTO!N10+'IEPSGAS ESTIMACIONES'!N10</f>
        <v>445548.03629298892</v>
      </c>
      <c r="O8" s="666">
        <f t="shared" si="0"/>
        <v>5120084.6963430513</v>
      </c>
      <c r="P8" s="667"/>
    </row>
    <row r="9" spans="1:16" x14ac:dyDescent="0.2">
      <c r="A9" s="663" t="s">
        <v>151</v>
      </c>
      <c r="B9" s="675"/>
      <c r="C9" s="665">
        <f>IEPSGASINCREMENTO!C11+'IEPSGAS ESTIMACIONES'!C11</f>
        <v>257252.58396166941</v>
      </c>
      <c r="D9" s="665">
        <f>IEPSGASINCREMENTO!D11+'IEPSGAS ESTIMACIONES'!D11</f>
        <v>274330.99032577034</v>
      </c>
      <c r="E9" s="665">
        <f>IEPSGASINCREMENTO!E11+'IEPSGAS ESTIMACIONES'!E11</f>
        <v>260328.89996999636</v>
      </c>
      <c r="F9" s="665">
        <f>IEPSGASINCREMENTO!F11+'IEPSGAS ESTIMACIONES'!F11</f>
        <v>285036.57756807958</v>
      </c>
      <c r="G9" s="665">
        <f>IEPSGASINCREMENTO!G11+'IEPSGAS ESTIMACIONES'!G11</f>
        <v>281851.45089120051</v>
      </c>
      <c r="H9" s="665">
        <f>IEPSGASINCREMENTO!H11+'IEPSGAS ESTIMACIONES'!H11</f>
        <v>291133.35891159903</v>
      </c>
      <c r="I9" s="665">
        <f>IEPSGASINCREMENTO!I11+'IEPSGAS ESTIMACIONES'!I11</f>
        <v>275263.16022999218</v>
      </c>
      <c r="J9" s="665">
        <f>IEPSGASINCREMENTO!J11+'IEPSGAS ESTIMACIONES'!J11</f>
        <v>285186.3669642965</v>
      </c>
      <c r="K9" s="665">
        <f>IEPSGASINCREMENTO!K11+'IEPSGAS ESTIMACIONES'!K11</f>
        <v>280262.88151920598</v>
      </c>
      <c r="L9" s="665">
        <f>IEPSGASINCREMENTO!L11+'IEPSGAS ESTIMACIONES'!L11</f>
        <v>257606.9990476442</v>
      </c>
      <c r="M9" s="665">
        <f>IEPSGASINCREMENTO!M11+'IEPSGAS ESTIMACIONES'!M11</f>
        <v>269981.87412393896</v>
      </c>
      <c r="N9" s="665">
        <f>IEPSGASINCREMENTO!N11+'IEPSGAS ESTIMACIONES'!N11</f>
        <v>257131.00986034097</v>
      </c>
      <c r="O9" s="666">
        <f t="shared" si="0"/>
        <v>3275366.1533737341</v>
      </c>
      <c r="P9" s="667"/>
    </row>
    <row r="10" spans="1:16" x14ac:dyDescent="0.2">
      <c r="A10" s="663" t="s">
        <v>286</v>
      </c>
      <c r="B10" s="675"/>
      <c r="C10" s="665">
        <f>IEPSGASINCREMENTO!C12+'IEPSGAS ESTIMACIONES'!C12</f>
        <v>132661.28981965836</v>
      </c>
      <c r="D10" s="665">
        <f>IEPSGASINCREMENTO!D12+'IEPSGAS ESTIMACIONES'!D12</f>
        <v>142992.0106395765</v>
      </c>
      <c r="E10" s="665">
        <f>IEPSGASINCREMENTO!E12+'IEPSGAS ESTIMACIONES'!E12</f>
        <v>130925.64414503715</v>
      </c>
      <c r="F10" s="665">
        <f>IEPSGASINCREMENTO!F12+'IEPSGAS ESTIMACIONES'!F12</f>
        <v>147270.71358430915</v>
      </c>
      <c r="G10" s="665">
        <f>IEPSGASINCREMENTO!G12+'IEPSGAS ESTIMACIONES'!G12</f>
        <v>143446.74526167751</v>
      </c>
      <c r="H10" s="665">
        <f>IEPSGASINCREMENTO!H12+'IEPSGAS ESTIMACIONES'!H12</f>
        <v>150309.36653730823</v>
      </c>
      <c r="I10" s="665">
        <f>IEPSGASINCREMENTO!I12+'IEPSGAS ESTIMACIONES'!I12</f>
        <v>139519.90632376299</v>
      </c>
      <c r="J10" s="665">
        <f>IEPSGASINCREMENTO!J12+'IEPSGAS ESTIMACIONES'!J12</f>
        <v>145830.97086204571</v>
      </c>
      <c r="K10" s="665">
        <f>IEPSGASINCREMENTO!K12+'IEPSGAS ESTIMACIONES'!K12</f>
        <v>144154.11380982376</v>
      </c>
      <c r="L10" s="665">
        <f>IEPSGASINCREMENTO!L12+'IEPSGAS ESTIMACIONES'!L12</f>
        <v>128769.29084254686</v>
      </c>
      <c r="M10" s="665">
        <f>IEPSGASINCREMENTO!M12+'IEPSGAS ESTIMACIONES'!M12</f>
        <v>137453.03313058772</v>
      </c>
      <c r="N10" s="665">
        <f>IEPSGASINCREMENTO!N12+'IEPSGAS ESTIMACIONES'!N12</f>
        <v>137039.07512516639</v>
      </c>
      <c r="O10" s="666">
        <f t="shared" si="0"/>
        <v>1680372.1600815004</v>
      </c>
      <c r="P10" s="667"/>
    </row>
    <row r="11" spans="1:16" x14ac:dyDescent="0.2">
      <c r="A11" s="663" t="s">
        <v>153</v>
      </c>
      <c r="B11" s="675"/>
      <c r="C11" s="665">
        <f>IEPSGASINCREMENTO!C13+'IEPSGAS ESTIMACIONES'!C13</f>
        <v>42499.066491080586</v>
      </c>
      <c r="D11" s="665">
        <f>IEPSGASINCREMENTO!D13+'IEPSGAS ESTIMACIONES'!D13</f>
        <v>45207.927802880033</v>
      </c>
      <c r="E11" s="665">
        <f>IEPSGASINCREMENTO!E13+'IEPSGAS ESTIMACIONES'!E13</f>
        <v>43252.690303233765</v>
      </c>
      <c r="F11" s="665">
        <f>IEPSGASINCREMENTO!F13+'IEPSGAS ESTIMACIONES'!F13</f>
        <v>47068.278848585396</v>
      </c>
      <c r="G11" s="665">
        <f>IEPSGASINCREMENTO!G13+'IEPSGAS ESTIMACIONES'!G13</f>
        <v>46703.230966124742</v>
      </c>
      <c r="H11" s="665">
        <f>IEPSGASINCREMENTO!H13+'IEPSGAS ESTIMACIONES'!H13</f>
        <v>48083.272902492812</v>
      </c>
      <c r="I11" s="665">
        <f>IEPSGASINCREMENTO!I13+'IEPSGAS ESTIMACIONES'!I13</f>
        <v>45653.925634242987</v>
      </c>
      <c r="J11" s="665">
        <f>IEPSGASINCREMENTO!J13+'IEPSGAS ESTIMACIONES'!J13</f>
        <v>47205.086672367019</v>
      </c>
      <c r="K11" s="665">
        <f>IEPSGASINCREMENTO!K13+'IEPSGAS ESTIMACIONES'!K13</f>
        <v>46328.023522707619</v>
      </c>
      <c r="L11" s="665">
        <f>IEPSGASINCREMENTO!L13+'IEPSGAS ESTIMACIONES'!L13</f>
        <v>42858.62612673812</v>
      </c>
      <c r="M11" s="665">
        <f>IEPSGASINCREMENTO!M13+'IEPSGAS ESTIMACIONES'!M13</f>
        <v>44732.93337293958</v>
      </c>
      <c r="N11" s="665">
        <f>IEPSGASINCREMENTO!N13+'IEPSGAS ESTIMACIONES'!N13</f>
        <v>42150.957220892291</v>
      </c>
      <c r="O11" s="666">
        <f t="shared" si="0"/>
        <v>541744.01986428502</v>
      </c>
      <c r="P11" s="667"/>
    </row>
    <row r="12" spans="1:16" x14ac:dyDescent="0.2">
      <c r="A12" s="663" t="s">
        <v>154</v>
      </c>
      <c r="B12" s="675"/>
      <c r="C12" s="665">
        <f>IEPSGASINCREMENTO!C14+'IEPSGAS ESTIMACIONES'!C14</f>
        <v>103324.19087408626</v>
      </c>
      <c r="D12" s="665">
        <f>IEPSGASINCREMENTO!D14+'IEPSGAS ESTIMACIONES'!D14</f>
        <v>109823.05303386509</v>
      </c>
      <c r="E12" s="665">
        <f>IEPSGASINCREMENTO!E14+'IEPSGAS ESTIMACIONES'!E14</f>
        <v>105345.99128393276</v>
      </c>
      <c r="F12" s="665">
        <f>IEPSGASINCREMENTO!F14+'IEPSGAS ESTIMACIONES'!F14</f>
        <v>114416.83714423001</v>
      </c>
      <c r="G12" s="665">
        <f>IEPSGASINCREMENTO!G14+'IEPSGAS ESTIMACIONES'!G14</f>
        <v>113653.8188800636</v>
      </c>
      <c r="H12" s="665">
        <f>IEPSGASINCREMENTO!H14+'IEPSGAS ESTIMACIONES'!H14</f>
        <v>116890.51465099632</v>
      </c>
      <c r="I12" s="665">
        <f>IEPSGASINCREMENTO!I14+'IEPSGAS ESTIMACIONES'!I14</f>
        <v>111132.94554100941</v>
      </c>
      <c r="J12" s="665">
        <f>IEPSGASINCREMENTO!J14+'IEPSGAS ESTIMACIONES'!J14</f>
        <v>114836.01674110348</v>
      </c>
      <c r="K12" s="665">
        <f>IEPSGASINCREMENTO!K14+'IEPSGAS ESTIMACIONES'!K14</f>
        <v>112654.49266395066</v>
      </c>
      <c r="L12" s="665">
        <f>IEPSGASINCREMENTO!L14+'IEPSGAS ESTIMACIONES'!L14</f>
        <v>104430.89360405404</v>
      </c>
      <c r="M12" s="665">
        <f>IEPSGASINCREMENTO!M14+'IEPSGAS ESTIMACIONES'!M14</f>
        <v>108856.34815394932</v>
      </c>
      <c r="N12" s="665">
        <f>IEPSGASINCREMENTO!N14+'IEPSGAS ESTIMACIONES'!N14</f>
        <v>102224.45595931375</v>
      </c>
      <c r="O12" s="666">
        <f t="shared" si="0"/>
        <v>1317589.5585305546</v>
      </c>
      <c r="P12" s="667"/>
    </row>
    <row r="13" spans="1:16" x14ac:dyDescent="0.2">
      <c r="A13" s="663" t="s">
        <v>155</v>
      </c>
      <c r="B13" s="675"/>
      <c r="C13" s="665">
        <f>IEPSGASINCREMENTO!C15+'IEPSGAS ESTIMACIONES'!C15</f>
        <v>65249.868001689101</v>
      </c>
      <c r="D13" s="665">
        <f>IEPSGASINCREMENTO!D15+'IEPSGAS ESTIMACIONES'!D15</f>
        <v>69517.656874541281</v>
      </c>
      <c r="E13" s="665">
        <f>IEPSGASINCREMENTO!E15+'IEPSGAS ESTIMACIONES'!E15</f>
        <v>66169.689181506255</v>
      </c>
      <c r="F13" s="665">
        <f>IEPSGASINCREMENTO!F15+'IEPSGAS ESTIMACIONES'!F15</f>
        <v>72285.205067445524</v>
      </c>
      <c r="G13" s="665">
        <f>IEPSGASINCREMENTO!G15+'IEPSGAS ESTIMACIONES'!G15</f>
        <v>71568.955612095364</v>
      </c>
      <c r="H13" s="665">
        <f>IEPSGASINCREMENTO!H15+'IEPSGAS ESTIMACIONES'!H15</f>
        <v>73836.026135192253</v>
      </c>
      <c r="I13" s="665">
        <f>IEPSGASINCREMENTO!I15+'IEPSGAS ESTIMACIONES'!I15</f>
        <v>69920.128541580038</v>
      </c>
      <c r="J13" s="665">
        <f>IEPSGASINCREMENTO!J15+'IEPSGAS ESTIMACIONES'!J15</f>
        <v>72386.917767924126</v>
      </c>
      <c r="K13" s="665">
        <f>IEPSGASINCREMENTO!K15+'IEPSGAS ESTIMACIONES'!K15</f>
        <v>71101.906426158908</v>
      </c>
      <c r="L13" s="665">
        <f>IEPSGASINCREMENTO!L15+'IEPSGAS ESTIMACIONES'!L15</f>
        <v>65510.919851097955</v>
      </c>
      <c r="M13" s="665">
        <f>IEPSGASINCREMENTO!M15+'IEPSGAS ESTIMACIONES'!M15</f>
        <v>68552.996225795199</v>
      </c>
      <c r="N13" s="665">
        <f>IEPSGASINCREMENTO!N15+'IEPSGAS ESTIMACIONES'!N15</f>
        <v>65032.512692148855</v>
      </c>
      <c r="O13" s="666">
        <f t="shared" si="0"/>
        <v>831132.78237717482</v>
      </c>
      <c r="P13" s="667"/>
    </row>
    <row r="14" spans="1:16" x14ac:dyDescent="0.2">
      <c r="A14" s="663" t="s">
        <v>156</v>
      </c>
      <c r="B14" s="675"/>
      <c r="C14" s="665">
        <f>IEPSGASINCREMENTO!C16+'IEPSGAS ESTIMACIONES'!C16</f>
        <v>48412.346808789043</v>
      </c>
      <c r="D14" s="665">
        <f>IEPSGASINCREMENTO!D16+'IEPSGAS ESTIMACIONES'!D16</f>
        <v>51455.577940913972</v>
      </c>
      <c r="E14" s="665">
        <f>IEPSGASINCREMENTO!E16+'IEPSGAS ESTIMACIONES'!E16</f>
        <v>49363.577614063783</v>
      </c>
      <c r="F14" s="665">
        <f>IEPSGASINCREMENTO!F16+'IEPSGAS ESTIMACIONES'!F16</f>
        <v>53609.452099238115</v>
      </c>
      <c r="G14" s="665">
        <f>IEPSGASINCREMENTO!G16+'IEPSGAS ESTIMACIONES'!G16</f>
        <v>53254.515605391614</v>
      </c>
      <c r="H14" s="665">
        <f>IEPSGASINCREMENTO!H16+'IEPSGAS ESTIMACIONES'!H16</f>
        <v>54768.613175802646</v>
      </c>
      <c r="I14" s="665">
        <f>IEPSGASINCREMENTO!I16+'IEPSGAS ESTIMACIONES'!I16</f>
        <v>52073.990018037242</v>
      </c>
      <c r="J14" s="665">
        <f>IEPSGASINCREMENTO!J16+'IEPSGAS ESTIMACIONES'!J16</f>
        <v>53807.647997003784</v>
      </c>
      <c r="K14" s="665">
        <f>IEPSGASINCREMENTO!K16+'IEPSGAS ESTIMACIONES'!K16</f>
        <v>52784.481839555621</v>
      </c>
      <c r="L14" s="665">
        <f>IEPSGASINCREMENTO!L16+'IEPSGAS ESTIMACIONES'!L16</f>
        <v>48935.698627909384</v>
      </c>
      <c r="M14" s="665">
        <f>IEPSGASINCREMENTO!M16+'IEPSGAS ESTIMACIONES'!M16</f>
        <v>51006.51995254583</v>
      </c>
      <c r="N14" s="665">
        <f>IEPSGASINCREMENTO!N16+'IEPSGAS ESTIMACIONES'!N16</f>
        <v>47891.828185272687</v>
      </c>
      <c r="O14" s="666">
        <f t="shared" si="0"/>
        <v>617364.24986452376</v>
      </c>
      <c r="P14" s="667"/>
    </row>
    <row r="15" spans="1:16" x14ac:dyDescent="0.2">
      <c r="A15" s="663" t="s">
        <v>157</v>
      </c>
      <c r="B15" s="675"/>
      <c r="C15" s="665">
        <f>IEPSGASINCREMENTO!C17+'IEPSGAS ESTIMACIONES'!C17</f>
        <v>126855.5382525717</v>
      </c>
      <c r="D15" s="665">
        <f>IEPSGASINCREMENTO!D17+'IEPSGAS ESTIMACIONES'!D17</f>
        <v>134353.49187163712</v>
      </c>
      <c r="E15" s="665">
        <f>IEPSGASINCREMENTO!E17+'IEPSGAS ESTIMACIONES'!E17</f>
        <v>130386.48331681918</v>
      </c>
      <c r="F15" s="665">
        <f>IEPSGASINCREMENTO!F17+'IEPSGAS ESTIMACIONES'!F17</f>
        <v>140385.54978716385</v>
      </c>
      <c r="G15" s="665">
        <f>IEPSGASINCREMENTO!G17+'IEPSGAS ESTIMACIONES'!G17</f>
        <v>140137.39035959262</v>
      </c>
      <c r="H15" s="665">
        <f>IEPSGASINCREMENTO!H17+'IEPSGAS ESTIMACIONES'!H17</f>
        <v>143455.85109182476</v>
      </c>
      <c r="I15" s="665">
        <f>IEPSGASINCREMENTO!I17+'IEPSGAS ESTIMACIONES'!I17</f>
        <v>137209.5113723212</v>
      </c>
      <c r="J15" s="665">
        <f>IEPSGASINCREMENTO!J17+'IEPSGAS ESTIMACIONES'!J17</f>
        <v>141379.07126329016</v>
      </c>
      <c r="K15" s="665">
        <f>IEPSGASINCREMENTO!K17+'IEPSGAS ESTIMACIONES'!K17</f>
        <v>138428.57287614211</v>
      </c>
      <c r="L15" s="665">
        <f>IEPSGASINCREMENTO!L17+'IEPSGAS ESTIMACIONES'!L17</f>
        <v>129500.59130963586</v>
      </c>
      <c r="M15" s="665">
        <f>IEPSGASINCREMENTO!M17+'IEPSGAS ESTIMACIONES'!M17</f>
        <v>134207.16004970463</v>
      </c>
      <c r="N15" s="665">
        <f>IEPSGASINCREMENTO!N17+'IEPSGAS ESTIMACIONES'!N17</f>
        <v>124103.59274279251</v>
      </c>
      <c r="O15" s="666">
        <f t="shared" si="0"/>
        <v>1620402.8042934956</v>
      </c>
      <c r="P15" s="667"/>
    </row>
    <row r="16" spans="1:16" x14ac:dyDescent="0.2">
      <c r="A16" s="663" t="s">
        <v>158</v>
      </c>
      <c r="B16" s="675"/>
      <c r="C16" s="665">
        <f>IEPSGASINCREMENTO!C18+'IEPSGAS ESTIMACIONES'!C18</f>
        <v>84418.12924650393</v>
      </c>
      <c r="D16" s="665">
        <f>IEPSGASINCREMENTO!D18+'IEPSGAS ESTIMACIONES'!D18</f>
        <v>89759.460354402647</v>
      </c>
      <c r="E16" s="665">
        <f>IEPSGASINCREMENTO!E18+'IEPSGAS ESTIMACIONES'!E18</f>
        <v>86001.046098747611</v>
      </c>
      <c r="F16" s="665">
        <f>IEPSGASINCREMENTO!F18+'IEPSGAS ESTIMACIONES'!F18</f>
        <v>93486.908881515788</v>
      </c>
      <c r="G16" s="665">
        <f>IEPSGASINCREMENTO!G18+'IEPSGAS ESTIMACIONES'!G18</f>
        <v>92818.237439257602</v>
      </c>
      <c r="H16" s="665">
        <f>IEPSGASINCREMENTO!H18+'IEPSGAS ESTIMACIONES'!H18</f>
        <v>95505.771120860925</v>
      </c>
      <c r="I16" s="665">
        <f>IEPSGASINCREMENTO!I18+'IEPSGAS ESTIMACIONES'!I18</f>
        <v>90747.643588625971</v>
      </c>
      <c r="J16" s="665">
        <f>IEPSGASINCREMENTO!J18+'IEPSGAS ESTIMACIONES'!J18</f>
        <v>93797.907696748938</v>
      </c>
      <c r="K16" s="665">
        <f>IEPSGASINCREMENTO!K18+'IEPSGAS ESTIMACIONES'!K18</f>
        <v>92033.444981270572</v>
      </c>
      <c r="L16" s="665">
        <f>IEPSGASINCREMENTO!L18+'IEPSGAS ESTIMACIONES'!L18</f>
        <v>85237.771196556729</v>
      </c>
      <c r="M16" s="665">
        <f>IEPSGASINCREMENTO!M18+'IEPSGAS ESTIMACIONES'!M18</f>
        <v>88901.239336324667</v>
      </c>
      <c r="N16" s="665">
        <f>IEPSGASINCREMENTO!N18+'IEPSGAS ESTIMACIONES'!N18</f>
        <v>83611.769347803638</v>
      </c>
      <c r="O16" s="666">
        <f t="shared" si="0"/>
        <v>1076319.3292886189</v>
      </c>
      <c r="P16" s="667"/>
    </row>
    <row r="17" spans="1:17" x14ac:dyDescent="0.2">
      <c r="A17" s="663" t="s">
        <v>159</v>
      </c>
      <c r="B17" s="675"/>
      <c r="C17" s="665">
        <f>IEPSGASINCREMENTO!C19+'IEPSGAS ESTIMACIONES'!C19</f>
        <v>149679.65311563929</v>
      </c>
      <c r="D17" s="665">
        <f>IEPSGASINCREMENTO!D19+'IEPSGAS ESTIMACIONES'!D19</f>
        <v>158909.00532577184</v>
      </c>
      <c r="E17" s="665">
        <f>IEPSGASINCREMENTO!E19+'IEPSGAS ESTIMACIONES'!E19</f>
        <v>153012.239274819</v>
      </c>
      <c r="F17" s="665">
        <f>IEPSGASINCREMENTO!F19+'IEPSGAS ESTIMACIONES'!F19</f>
        <v>165714.68794475461</v>
      </c>
      <c r="G17" s="665">
        <f>IEPSGASINCREMENTO!G19+'IEPSGAS ESTIMACIONES'!G19</f>
        <v>164874.45561837577</v>
      </c>
      <c r="H17" s="665">
        <f>IEPSGASINCREMENTO!H19+'IEPSGAS ESTIMACIONES'!H19</f>
        <v>169310.96333464264</v>
      </c>
      <c r="I17" s="665">
        <f>IEPSGASINCREMENTO!I19+'IEPSGAS ESTIMACIONES'!I19</f>
        <v>161286.94701415225</v>
      </c>
      <c r="J17" s="665">
        <f>IEPSGASINCREMENTO!J19+'IEPSGAS ESTIMACIONES'!J19</f>
        <v>166506.28529597557</v>
      </c>
      <c r="K17" s="665">
        <f>IEPSGASINCREMENTO!K19+'IEPSGAS ESTIMACIONES'!K19</f>
        <v>163241.26951488722</v>
      </c>
      <c r="L17" s="665">
        <f>IEPSGASINCREMENTO!L19+'IEPSGAS ESTIMACIONES'!L19</f>
        <v>151778.06676383631</v>
      </c>
      <c r="M17" s="665">
        <f>IEPSGASINCREMENTO!M19+'IEPSGAS ESTIMACIONES'!M19</f>
        <v>157909.17863328895</v>
      </c>
      <c r="N17" s="665">
        <f>IEPSGASINCREMENTO!N19+'IEPSGAS ESTIMACIONES'!N19</f>
        <v>147546.88881188459</v>
      </c>
      <c r="O17" s="666">
        <f t="shared" si="0"/>
        <v>1909769.6406480281</v>
      </c>
      <c r="P17" s="667"/>
    </row>
    <row r="18" spans="1:17" x14ac:dyDescent="0.2">
      <c r="A18" s="663" t="s">
        <v>287</v>
      </c>
      <c r="B18" s="675"/>
      <c r="C18" s="665">
        <f>IEPSGASINCREMENTO!C20+'IEPSGAS ESTIMACIONES'!C20</f>
        <v>28264.729418647741</v>
      </c>
      <c r="D18" s="665">
        <f>IEPSGASINCREMENTO!D20+'IEPSGAS ESTIMACIONES'!D20</f>
        <v>29976.1403740108</v>
      </c>
      <c r="E18" s="665">
        <f>IEPSGASINCREMENTO!E20+'IEPSGAS ESTIMACIONES'!E20</f>
        <v>28962.526549463619</v>
      </c>
      <c r="F18" s="665">
        <f>IEPSGASINCREMENTO!F20+'IEPSGAS ESTIMACIONES'!F20</f>
        <v>31286.895912484473</v>
      </c>
      <c r="G18" s="665">
        <f>IEPSGASINCREMENTO!G20+'IEPSGAS ESTIMACIONES'!G20</f>
        <v>31173.204380192783</v>
      </c>
      <c r="H18" s="665">
        <f>IEPSGASINCREMENTO!H20+'IEPSGAS ESTIMACIONES'!H20</f>
        <v>31968.170164238567</v>
      </c>
      <c r="I18" s="665">
        <f>IEPSGASINCREMENTO!I20+'IEPSGAS ESTIMACIONES'!I20</f>
        <v>30506.67128912493</v>
      </c>
      <c r="J18" s="665">
        <f>IEPSGASINCREMENTO!J20+'IEPSGAS ESTIMACIONES'!J20</f>
        <v>31467.651866707201</v>
      </c>
      <c r="K18" s="665">
        <f>IEPSGASINCREMENTO!K20+'IEPSGAS ESTIMACIONES'!K20</f>
        <v>30833.329603097383</v>
      </c>
      <c r="L18" s="665">
        <f>IEPSGASINCREMENTO!L20+'IEPSGAS ESTIMACIONES'!L20</f>
        <v>28744.989985926684</v>
      </c>
      <c r="M18" s="665">
        <f>IEPSGASINCREMENTO!M20+'IEPSGAS ESTIMACIONES'!M20</f>
        <v>29855.294157290111</v>
      </c>
      <c r="N18" s="665">
        <f>IEPSGASINCREMENTO!N20+'IEPSGAS ESTIMACIONES'!N20</f>
        <v>27770.442549208274</v>
      </c>
      <c r="O18" s="666">
        <f t="shared" si="0"/>
        <v>360810.04625039262</v>
      </c>
      <c r="P18" s="667"/>
    </row>
    <row r="19" spans="1:17" x14ac:dyDescent="0.2">
      <c r="A19" s="663" t="s">
        <v>288</v>
      </c>
      <c r="B19" s="675"/>
      <c r="C19" s="665">
        <f>IEPSGASINCREMENTO!C21+'IEPSGAS ESTIMACIONES'!C21</f>
        <v>87132.220265374461</v>
      </c>
      <c r="D19" s="665">
        <f>IEPSGASINCREMENTO!D21+'IEPSGAS ESTIMACIONES'!D21</f>
        <v>92653.339030761388</v>
      </c>
      <c r="E19" s="665">
        <f>IEPSGASINCREMENTO!E21+'IEPSGAS ESTIMACIONES'!E21</f>
        <v>88748.453507368467</v>
      </c>
      <c r="F19" s="665">
        <f>IEPSGASINCREMENTO!F21+'IEPSGAS ESTIMACIONES'!F21</f>
        <v>96494.056331100641</v>
      </c>
      <c r="G19" s="665">
        <f>IEPSGASINCREMENTO!G21+'IEPSGAS ESTIMACIONES'!G21</f>
        <v>95792.345807887177</v>
      </c>
      <c r="H19" s="665">
        <f>IEPSGASINCREMENTO!H21+'IEPSGAS ESTIMACIONES'!H21</f>
        <v>98577.268708404241</v>
      </c>
      <c r="I19" s="665">
        <f>IEPSGASINCREMENTO!I21+'IEPSGAS ESTIMACIONES'!I21</f>
        <v>93652.380630219763</v>
      </c>
      <c r="J19" s="665">
        <f>IEPSGASINCREMENTO!J21+'IEPSGAS ESTIMACIONES'!J21</f>
        <v>96807.028337203956</v>
      </c>
      <c r="K19" s="665">
        <f>IEPSGASINCREMENTO!K21+'IEPSGAS ESTIMACIONES'!K21</f>
        <v>94990.398121977429</v>
      </c>
      <c r="L19" s="665">
        <f>IEPSGASINCREMENTO!L21+'IEPSGAS ESTIMACIONES'!L21</f>
        <v>87956.656679944994</v>
      </c>
      <c r="M19" s="665">
        <f>IEPSGASINCREMENTO!M21+'IEPSGAS ESTIMACIONES'!M21</f>
        <v>91750.087196361972</v>
      </c>
      <c r="N19" s="665">
        <f>IEPSGASINCREMENTO!N21+'IEPSGAS ESTIMACIONES'!N21</f>
        <v>86323.427731245232</v>
      </c>
      <c r="O19" s="666">
        <f t="shared" si="0"/>
        <v>1110877.6623478497</v>
      </c>
      <c r="P19" s="667"/>
    </row>
    <row r="20" spans="1:17" x14ac:dyDescent="0.2">
      <c r="A20" s="663" t="s">
        <v>289</v>
      </c>
      <c r="B20" s="675"/>
      <c r="C20" s="665">
        <f>IEPSGASINCREMENTO!C22+'IEPSGAS ESTIMACIONES'!C22</f>
        <v>336995.43806281209</v>
      </c>
      <c r="D20" s="665">
        <f>IEPSGASINCREMENTO!D22+'IEPSGAS ESTIMACIONES'!D22</f>
        <v>357875.92841677985</v>
      </c>
      <c r="E20" s="665">
        <f>IEPSGASINCREMENTO!E22+'IEPSGAS ESTIMACIONES'!E22</f>
        <v>344278.10472986882</v>
      </c>
      <c r="F20" s="665">
        <f>IEPSGASINCREMENTO!F22+'IEPSGAS ESTIMACIONES'!F22</f>
        <v>373116.12031589559</v>
      </c>
      <c r="G20" s="665">
        <f>IEPSGASINCREMENTO!G22+'IEPSGAS ESTIMACIONES'!G22</f>
        <v>371079.61343318259</v>
      </c>
      <c r="H20" s="665">
        <f>IEPSGASINCREMENTO!H22+'IEPSGAS ESTIMACIONES'!H22</f>
        <v>381205.94239366945</v>
      </c>
      <c r="I20" s="665">
        <f>IEPSGASINCREMENTO!I22+'IEPSGAS ESTIMACIONES'!I22</f>
        <v>362967.4063361783</v>
      </c>
      <c r="J20" s="665">
        <f>IEPSGASINCREMENTO!J22+'IEPSGAS ESTIMACIONES'!J22</f>
        <v>374797.68391701742</v>
      </c>
      <c r="K20" s="665">
        <f>IEPSGASINCREMENTO!K22+'IEPSGAS ESTIMACIONES'!K22</f>
        <v>367503.895401077</v>
      </c>
      <c r="L20" s="665">
        <f>IEPSGASINCREMENTO!L22+'IEPSGAS ESTIMACIONES'!L22</f>
        <v>341449.48061796057</v>
      </c>
      <c r="M20" s="665">
        <f>IEPSGASINCREMENTO!M22+'IEPSGAS ESTIMACIONES'!M22</f>
        <v>355406.12346221716</v>
      </c>
      <c r="N20" s="665">
        <f>IEPSGASINCREMENTO!N22+'IEPSGAS ESTIMACIONES'!N22</f>
        <v>332488.32728704251</v>
      </c>
      <c r="O20" s="666">
        <f t="shared" si="0"/>
        <v>4299164.0643737009</v>
      </c>
      <c r="P20" s="667"/>
    </row>
    <row r="21" spans="1:17" x14ac:dyDescent="0.2">
      <c r="A21" s="663" t="s">
        <v>163</v>
      </c>
      <c r="B21" s="675"/>
      <c r="C21" s="665">
        <f>IEPSGASINCREMENTO!C23+'IEPSGAS ESTIMACIONES'!C23</f>
        <v>145383.68546594784</v>
      </c>
      <c r="D21" s="665">
        <f>IEPSGASINCREMENTO!D23+'IEPSGAS ESTIMACIONES'!D23</f>
        <v>153709.80071328994</v>
      </c>
      <c r="E21" s="665">
        <f>IEPSGASINCREMENTO!E23+'IEPSGAS ESTIMACIONES'!E23</f>
        <v>150012.42890078065</v>
      </c>
      <c r="F21" s="665">
        <f>IEPSGASINCREMENTO!F23+'IEPSGAS ESTIMACIONES'!F23</f>
        <v>160840.50346567133</v>
      </c>
      <c r="G21" s="665">
        <f>IEPSGASINCREMENTO!G23+'IEPSGAS ESTIMACIONES'!G23</f>
        <v>160938.32397212143</v>
      </c>
      <c r="H21" s="665">
        <f>IEPSGASINCREMENTO!H23+'IEPSGAS ESTIMACIONES'!H23</f>
        <v>164377.70573490785</v>
      </c>
      <c r="I21" s="665">
        <f>IEPSGASINCREMENTO!I23+'IEPSGAS ESTIMACIONES'!I23</f>
        <v>157675.55956773457</v>
      </c>
      <c r="J21" s="665">
        <f>IEPSGASINCREMENTO!J23+'IEPSGAS ESTIMACIONES'!J23</f>
        <v>162244.93687775894</v>
      </c>
      <c r="K21" s="665">
        <f>IEPSGASINCREMENTO!K23+'IEPSGAS ESTIMACIONES'!K23</f>
        <v>158712.44141498965</v>
      </c>
      <c r="L21" s="665">
        <f>IEPSGASINCREMENTO!L23+'IEPSGAS ESTIMACIONES'!L23</f>
        <v>149129.03329739152</v>
      </c>
      <c r="M21" s="665">
        <f>IEPSGASINCREMENTO!M23+'IEPSGAS ESTIMACIONES'!M23</f>
        <v>154119.64532180683</v>
      </c>
      <c r="N21" s="665">
        <f>IEPSGASINCREMENTO!N23+'IEPSGAS ESTIMACIONES'!N23</f>
        <v>141451.75370874576</v>
      </c>
      <c r="O21" s="666">
        <f t="shared" si="0"/>
        <v>1858595.8184411465</v>
      </c>
      <c r="P21" s="667"/>
    </row>
    <row r="22" spans="1:17" x14ac:dyDescent="0.2">
      <c r="A22" s="663" t="s">
        <v>164</v>
      </c>
      <c r="B22" s="677"/>
      <c r="C22" s="665">
        <f>IEPSGASINCREMENTO!C24+'IEPSGAS ESTIMACIONES'!C24</f>
        <v>1383841.2419647102</v>
      </c>
      <c r="D22" s="665">
        <f>IEPSGASINCREMENTO!D24+'IEPSGAS ESTIMACIONES'!D24</f>
        <v>1477585.8296935316</v>
      </c>
      <c r="E22" s="665">
        <f>IEPSGASINCREMENTO!E24+'IEPSGAS ESTIMACIONES'!E24</f>
        <v>1396302.5346387289</v>
      </c>
      <c r="F22" s="665">
        <f>IEPSGASINCREMENTO!F24+'IEPSGAS ESTIMACIONES'!F24</f>
        <v>1533646.4397927874</v>
      </c>
      <c r="G22" s="665">
        <f>IEPSGASINCREMENTO!G24+'IEPSGAS ESTIMACIONES'!G24</f>
        <v>1513828.7995329322</v>
      </c>
      <c r="H22" s="665">
        <f>IEPSGASINCREMENTO!H24+'IEPSGAS ESTIMACIONES'!H24</f>
        <v>1566313.2805518522</v>
      </c>
      <c r="I22" s="665">
        <f>IEPSGASINCREMENTO!I24+'IEPSGAS ESTIMACIONES'!I24</f>
        <v>1477737.0723330386</v>
      </c>
      <c r="J22" s="665">
        <f>IEPSGASINCREMENTO!J24+'IEPSGAS ESTIMACIONES'!J24</f>
        <v>1532585.8370367081</v>
      </c>
      <c r="K22" s="665">
        <f>IEPSGASINCREMENTO!K24+'IEPSGAS ESTIMACIONES'!K24</f>
        <v>1507161.5497554308</v>
      </c>
      <c r="L22" s="665">
        <f>IEPSGASINCREMENTO!L24+'IEPSGAS ESTIMACIONES'!L24</f>
        <v>1380734.5198213977</v>
      </c>
      <c r="M22" s="665">
        <f>IEPSGASINCREMENTO!M24+'IEPSGAS ESTIMACIONES'!M24</f>
        <v>1450135.2310211405</v>
      </c>
      <c r="N22" s="665">
        <f>IEPSGASINCREMENTO!N24+'IEPSGAS ESTIMACIONES'!N24</f>
        <v>1388650.4295875623</v>
      </c>
      <c r="O22" s="666">
        <f t="shared" si="0"/>
        <v>17608522.765729818</v>
      </c>
      <c r="P22" s="667"/>
      <c r="Q22" s="667"/>
    </row>
    <row r="23" spans="1:17" x14ac:dyDescent="0.2">
      <c r="A23" s="663" t="s">
        <v>165</v>
      </c>
      <c r="B23" s="677"/>
      <c r="C23" s="665">
        <f>IEPSGASINCREMENTO!C25+'IEPSGAS ESTIMACIONES'!C25</f>
        <v>112540.11521219755</v>
      </c>
      <c r="D23" s="665">
        <f>IEPSGASINCREMENTO!D25+'IEPSGAS ESTIMACIONES'!D25</f>
        <v>119248.93931512017</v>
      </c>
      <c r="E23" s="665">
        <f>IEPSGASINCREMENTO!E25+'IEPSGAS ESTIMACIONES'!E25</f>
        <v>115548.31738704108</v>
      </c>
      <c r="F23" s="665">
        <f>IEPSGASINCREMENTO!F25+'IEPSGAS ESTIMACIONES'!F25</f>
        <v>124553.82521619284</v>
      </c>
      <c r="G23" s="665">
        <f>IEPSGASINCREMENTO!G25+'IEPSGAS ESTIMACIONES'!G25</f>
        <v>124252.05967946388</v>
      </c>
      <c r="H23" s="665">
        <f>IEPSGASINCREMENTO!H25+'IEPSGAS ESTIMACIONES'!H25</f>
        <v>127273.70660358539</v>
      </c>
      <c r="I23" s="665">
        <f>IEPSGASINCREMENTO!I25+'IEPSGAS ESTIMACIONES'!I25</f>
        <v>121634.78280956336</v>
      </c>
      <c r="J23" s="665">
        <f>IEPSGASINCREMENTO!J25+'IEPSGAS ESTIMACIONES'!J25</f>
        <v>125378.47729824582</v>
      </c>
      <c r="K23" s="665">
        <f>IEPSGASINCREMENTO!K25+'IEPSGAS ESTIMACIONES'!K25</f>
        <v>122793.18999118452</v>
      </c>
      <c r="L23" s="665">
        <f>IEPSGASINCREMENTO!L25+'IEPSGAS ESTIMACIONES'!L25</f>
        <v>114734.23696664249</v>
      </c>
      <c r="M23" s="665">
        <f>IEPSGASINCREMENTO!M25+'IEPSGAS ESTIMACIONES'!M25</f>
        <v>118995.80594446801</v>
      </c>
      <c r="N23" s="665">
        <f>IEPSGASINCREMENTO!N25+'IEPSGAS ESTIMACIONES'!N25</f>
        <v>110264.84540784528</v>
      </c>
      <c r="O23" s="666">
        <f t="shared" si="0"/>
        <v>1437218.3018315502</v>
      </c>
      <c r="P23" s="667"/>
      <c r="Q23" s="667"/>
    </row>
    <row r="24" spans="1:17" ht="13.5" thickBot="1" x14ac:dyDescent="0.25">
      <c r="A24" s="663" t="s">
        <v>166</v>
      </c>
      <c r="B24" s="676"/>
      <c r="C24" s="665">
        <f>IEPSGASINCREMENTO!C26+'IEPSGAS ESTIMACIONES'!C26</f>
        <v>185041.0811619825</v>
      </c>
      <c r="D24" s="665">
        <f>IEPSGASINCREMENTO!D26+'IEPSGAS ESTIMACIONES'!D26</f>
        <v>199231.6312430765</v>
      </c>
      <c r="E24" s="665">
        <f>IEPSGASINCREMENTO!E26+'IEPSGAS ESTIMACIONES'!E26</f>
        <v>183097.92933826789</v>
      </c>
      <c r="F24" s="665">
        <f>IEPSGASINCREMENTO!F26+'IEPSGAS ESTIMACIONES'!F26</f>
        <v>205378.36241192071</v>
      </c>
      <c r="G24" s="665">
        <f>IEPSGASINCREMENTO!G26+'IEPSGAS ESTIMACIONES'!G26</f>
        <v>200358.28986830398</v>
      </c>
      <c r="H24" s="665">
        <f>IEPSGASINCREMENTO!H26+'IEPSGAS ESTIMACIONES'!H26</f>
        <v>209631.946856895</v>
      </c>
      <c r="I24" s="665">
        <f>IEPSGASINCREMENTO!I26+'IEPSGAS ESTIMACIONES'!I26</f>
        <v>194957.1180805022</v>
      </c>
      <c r="J24" s="665">
        <f>IEPSGASINCREMENTO!J26+'IEPSGAS ESTIMACIONES'!J26</f>
        <v>203588.33395195083</v>
      </c>
      <c r="K24" s="665">
        <f>IEPSGASINCREMENTO!K26+'IEPSGAS ESTIMACIONES'!K26</f>
        <v>201125.39632087914</v>
      </c>
      <c r="L24" s="665">
        <f>IEPSGASINCREMENTO!L26+'IEPSGAS ESTIMACIONES'!L26</f>
        <v>180198.42290801153</v>
      </c>
      <c r="M24" s="665">
        <f>IEPSGASINCREMENTO!M26+'IEPSGAS ESTIMACIONES'!M26</f>
        <v>191979.72741314123</v>
      </c>
      <c r="N24" s="665">
        <f>IEPSGASINCREMENTO!N26+'IEPSGAS ESTIMACIONES'!N26</f>
        <v>190508.73424330566</v>
      </c>
      <c r="O24" s="666">
        <f t="shared" si="0"/>
        <v>2345096.9737982373</v>
      </c>
      <c r="P24" s="667"/>
    </row>
    <row r="25" spans="1:17" ht="13.5" thickBot="1" x14ac:dyDescent="0.25">
      <c r="A25" s="668" t="s">
        <v>290</v>
      </c>
      <c r="B25" s="669">
        <f t="shared" ref="B25:O25" si="1">SUM(B5:B24)</f>
        <v>0</v>
      </c>
      <c r="C25" s="670">
        <f t="shared" si="1"/>
        <v>3932547.3144567823</v>
      </c>
      <c r="D25" s="670">
        <f t="shared" si="1"/>
        <v>4203963.9186558649</v>
      </c>
      <c r="E25" s="670">
        <f t="shared" si="1"/>
        <v>3957021.0138631621</v>
      </c>
      <c r="F25" s="670">
        <f t="shared" si="1"/>
        <v>4359185.3432102483</v>
      </c>
      <c r="G25" s="670">
        <f t="shared" si="1"/>
        <v>4295685.614397374</v>
      </c>
      <c r="H25" s="670">
        <f t="shared" si="1"/>
        <v>4451669.7960618753</v>
      </c>
      <c r="I25" s="670">
        <f t="shared" si="1"/>
        <v>4191378.5397500913</v>
      </c>
      <c r="J25" s="670">
        <f t="shared" si="1"/>
        <v>4351176.4737352869</v>
      </c>
      <c r="K25" s="670">
        <f t="shared" si="1"/>
        <v>4281765.3204317121</v>
      </c>
      <c r="L25" s="670">
        <f t="shared" si="1"/>
        <v>3910302.0210486115</v>
      </c>
      <c r="M25" s="670">
        <f t="shared" si="1"/>
        <v>4115102.6469627004</v>
      </c>
      <c r="N25" s="670">
        <f t="shared" si="1"/>
        <v>3960834.7724262937</v>
      </c>
      <c r="O25" s="670">
        <f t="shared" si="1"/>
        <v>50010632.775000006</v>
      </c>
    </row>
    <row r="26" spans="1:17" x14ac:dyDescent="0.2">
      <c r="A26" s="672" t="s">
        <v>291</v>
      </c>
    </row>
  </sheetData>
  <mergeCells count="2">
    <mergeCell ref="A1:O1"/>
    <mergeCell ref="A2:O2"/>
  </mergeCells>
  <printOptions horizontalCentered="1"/>
  <pageMargins left="0.78740157480314965" right="0.78740157480314965" top="0.98425196850393704" bottom="0.98425196850393704" header="0" footer="0"/>
  <pageSetup paperSize="5" scale="90"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tabColor rgb="FF7030A0"/>
  </sheetPr>
  <dimension ref="A1:O32"/>
  <sheetViews>
    <sheetView workbookViewId="0">
      <selection sqref="A1:O1"/>
    </sheetView>
  </sheetViews>
  <sheetFormatPr baseColWidth="10" defaultRowHeight="12.75" x14ac:dyDescent="0.2"/>
  <cols>
    <col min="1" max="1" width="15.42578125" style="658" customWidth="1"/>
    <col min="2" max="2" width="9.28515625" style="658" customWidth="1"/>
    <col min="3" max="3" width="11.7109375" style="658" bestFit="1" customWidth="1"/>
    <col min="4" max="5" width="10.85546875" style="658" bestFit="1" customWidth="1"/>
    <col min="6" max="6" width="11.7109375" style="658" bestFit="1" customWidth="1"/>
    <col min="7" max="8" width="10.85546875" style="658" bestFit="1" customWidth="1"/>
    <col min="9" max="9" width="11.7109375" style="658" bestFit="1" customWidth="1"/>
    <col min="10" max="11" width="10.85546875" style="658" bestFit="1" customWidth="1"/>
    <col min="12" max="12" width="11.7109375" style="658" bestFit="1" customWidth="1"/>
    <col min="13" max="14" width="10.85546875" style="658" bestFit="1" customWidth="1"/>
    <col min="15" max="15" width="13" style="658" bestFit="1" customWidth="1"/>
    <col min="16" max="16384" width="11.42578125" style="658"/>
  </cols>
  <sheetData>
    <row r="1" spans="1:15" ht="15.75" x14ac:dyDescent="0.25">
      <c r="A1" s="1019" t="s">
        <v>279</v>
      </c>
      <c r="B1" s="1019"/>
      <c r="C1" s="1019"/>
      <c r="D1" s="1019"/>
      <c r="E1" s="1019"/>
      <c r="F1" s="1019"/>
      <c r="G1" s="1019"/>
      <c r="H1" s="1019"/>
      <c r="I1" s="1019"/>
      <c r="J1" s="1019"/>
      <c r="K1" s="1019"/>
      <c r="L1" s="1019"/>
      <c r="M1" s="1019"/>
      <c r="N1" s="1019"/>
      <c r="O1" s="1019"/>
    </row>
    <row r="2" spans="1:15" x14ac:dyDescent="0.2">
      <c r="A2" s="1020" t="s">
        <v>280</v>
      </c>
      <c r="B2" s="1020"/>
      <c r="C2" s="1020"/>
      <c r="D2" s="1020"/>
      <c r="E2" s="1020"/>
      <c r="F2" s="1020"/>
      <c r="G2" s="1020"/>
      <c r="H2" s="1020"/>
      <c r="I2" s="1020"/>
      <c r="J2" s="1020"/>
      <c r="K2" s="1020"/>
      <c r="L2" s="1020"/>
      <c r="M2" s="1020"/>
      <c r="N2" s="1020"/>
      <c r="O2" s="1020"/>
    </row>
    <row r="3" spans="1:15" x14ac:dyDescent="0.2">
      <c r="A3" s="1020" t="s">
        <v>281</v>
      </c>
      <c r="B3" s="1020"/>
      <c r="C3" s="1020"/>
      <c r="D3" s="1020"/>
      <c r="E3" s="1020"/>
      <c r="F3" s="1020"/>
      <c r="G3" s="1020"/>
      <c r="H3" s="1020"/>
      <c r="I3" s="1020"/>
      <c r="J3" s="1020"/>
      <c r="K3" s="1020"/>
      <c r="L3" s="1020"/>
      <c r="M3" s="1020"/>
      <c r="N3" s="1020"/>
      <c r="O3" s="1020"/>
    </row>
    <row r="4" spans="1:15" x14ac:dyDescent="0.2">
      <c r="A4" s="1021" t="s">
        <v>360</v>
      </c>
      <c r="B4" s="1021"/>
      <c r="C4" s="1021"/>
      <c r="D4" s="1021"/>
      <c r="E4" s="1021"/>
      <c r="F4" s="1021"/>
      <c r="G4" s="1021"/>
      <c r="H4" s="1021"/>
      <c r="I4" s="1021"/>
      <c r="J4" s="1021"/>
      <c r="K4" s="1021"/>
      <c r="L4" s="1021"/>
      <c r="M4" s="1021"/>
      <c r="N4" s="1021"/>
      <c r="O4" s="1021"/>
    </row>
    <row r="5" spans="1:15" ht="13.5" thickBot="1" x14ac:dyDescent="0.25"/>
    <row r="6" spans="1:15" ht="23.25" thickBot="1" x14ac:dyDescent="0.25">
      <c r="A6" s="659" t="s">
        <v>351</v>
      </c>
      <c r="B6" s="660" t="s">
        <v>283</v>
      </c>
      <c r="C6" s="659" t="s">
        <v>1</v>
      </c>
      <c r="D6" s="661" t="s">
        <v>2</v>
      </c>
      <c r="E6" s="659" t="s">
        <v>3</v>
      </c>
      <c r="F6" s="661" t="s">
        <v>4</v>
      </c>
      <c r="G6" s="659" t="s">
        <v>5</v>
      </c>
      <c r="H6" s="659" t="s">
        <v>6</v>
      </c>
      <c r="I6" s="659" t="s">
        <v>7</v>
      </c>
      <c r="J6" s="661" t="s">
        <v>8</v>
      </c>
      <c r="K6" s="659" t="s">
        <v>9</v>
      </c>
      <c r="L6" s="661" t="s">
        <v>10</v>
      </c>
      <c r="M6" s="659" t="s">
        <v>11</v>
      </c>
      <c r="N6" s="659" t="s">
        <v>12</v>
      </c>
      <c r="O6" s="662" t="s">
        <v>169</v>
      </c>
    </row>
    <row r="7" spans="1:15" x14ac:dyDescent="0.2">
      <c r="A7" s="663" t="s">
        <v>284</v>
      </c>
      <c r="B7" s="689">
        <f>FOFIR!I9</f>
        <v>0.21686411651904153</v>
      </c>
      <c r="C7" s="690">
        <f t="shared" ref="C7:C26" si="0">$C$32*B7/100</f>
        <v>7959.5731172314627</v>
      </c>
      <c r="D7" s="691">
        <f t="shared" ref="D7:D26" si="1">$D$32*B7/100</f>
        <v>1094.9688631611775</v>
      </c>
      <c r="E7" s="690">
        <f t="shared" ref="E7:E26" si="2">$E$32*B7/100</f>
        <v>1094.9688631611775</v>
      </c>
      <c r="F7" s="691">
        <f t="shared" ref="F7:F26" si="3">$F$32*B7/100</f>
        <v>19406.210915390948</v>
      </c>
      <c r="G7" s="690">
        <f t="shared" ref="G7:G26" si="4">$G$32*B7/100</f>
        <v>1094.9688631611775</v>
      </c>
      <c r="H7" s="690">
        <f t="shared" ref="H7:H26" si="5">$H$32*B7/100</f>
        <v>1094.9688631611775</v>
      </c>
      <c r="I7" s="692">
        <f t="shared" ref="I7:I26" si="6">$I$32*B7/100</f>
        <v>19775.210237325038</v>
      </c>
      <c r="J7" s="691">
        <f t="shared" ref="J7:J26" si="7">$J$32*B7/100</f>
        <v>1094.9688631611775</v>
      </c>
      <c r="K7" s="690">
        <f t="shared" ref="K7:K26" si="8">$K$32*B7/100</f>
        <v>1094.9688631611775</v>
      </c>
      <c r="L7" s="691">
        <f t="shared" ref="L7:L26" si="9">$L$32*B7/100</f>
        <v>12020.371965869055</v>
      </c>
      <c r="M7" s="690">
        <f t="shared" ref="M7:M26" si="10">$M$32*B7/100</f>
        <v>1094.9688631611775</v>
      </c>
      <c r="N7" s="690">
        <f t="shared" ref="N7:N26" si="11">$N$32*B7/100</f>
        <v>1094.9688631611775</v>
      </c>
      <c r="O7" s="693">
        <f t="shared" ref="O7:O27" si="12">SUM(C7:N7)</f>
        <v>67921.117141105933</v>
      </c>
    </row>
    <row r="8" spans="1:15" x14ac:dyDescent="0.2">
      <c r="A8" s="663" t="s">
        <v>148</v>
      </c>
      <c r="B8" s="694">
        <f>FOFIR!I10</f>
        <v>3.5400131192361767E-2</v>
      </c>
      <c r="C8" s="690">
        <f t="shared" si="0"/>
        <v>1299.2925575146921</v>
      </c>
      <c r="D8" s="691">
        <f t="shared" si="1"/>
        <v>178.73884361156377</v>
      </c>
      <c r="E8" s="690">
        <f t="shared" si="2"/>
        <v>178.73884361156377</v>
      </c>
      <c r="F8" s="691">
        <f t="shared" si="3"/>
        <v>3167.8012175479607</v>
      </c>
      <c r="G8" s="690">
        <f t="shared" si="4"/>
        <v>178.73884361156377</v>
      </c>
      <c r="H8" s="690">
        <f t="shared" si="5"/>
        <v>178.73884361156377</v>
      </c>
      <c r="I8" s="690">
        <f t="shared" si="6"/>
        <v>3228.0353614719616</v>
      </c>
      <c r="J8" s="691">
        <f t="shared" si="7"/>
        <v>178.73884361156377</v>
      </c>
      <c r="K8" s="690">
        <f t="shared" si="8"/>
        <v>178.73884361156377</v>
      </c>
      <c r="L8" s="691">
        <f t="shared" si="9"/>
        <v>1962.1629959025033</v>
      </c>
      <c r="M8" s="690">
        <f t="shared" si="10"/>
        <v>178.73884361156377</v>
      </c>
      <c r="N8" s="690">
        <f t="shared" si="11"/>
        <v>178.73884361156377</v>
      </c>
      <c r="O8" s="693">
        <f t="shared" si="12"/>
        <v>11087.202881329626</v>
      </c>
    </row>
    <row r="9" spans="1:15" x14ac:dyDescent="0.2">
      <c r="A9" s="663" t="s">
        <v>149</v>
      </c>
      <c r="B9" s="694">
        <f>FOFIR!I11</f>
        <v>1.8076239653377235E-2</v>
      </c>
      <c r="C9" s="690">
        <f t="shared" si="0"/>
        <v>663.45301156829066</v>
      </c>
      <c r="D9" s="691">
        <f t="shared" si="1"/>
        <v>91.268762675864693</v>
      </c>
      <c r="E9" s="690">
        <f t="shared" si="2"/>
        <v>91.268762675864693</v>
      </c>
      <c r="F9" s="691">
        <f t="shared" si="3"/>
        <v>1617.5627618863866</v>
      </c>
      <c r="G9" s="690">
        <f t="shared" si="4"/>
        <v>91.268762675864693</v>
      </c>
      <c r="H9" s="690">
        <f t="shared" si="5"/>
        <v>91.268762675864693</v>
      </c>
      <c r="I9" s="690">
        <f t="shared" si="6"/>
        <v>1648.3199027277512</v>
      </c>
      <c r="J9" s="691">
        <f t="shared" si="7"/>
        <v>91.268762675864693</v>
      </c>
      <c r="K9" s="690">
        <f t="shared" si="8"/>
        <v>91.268762675864693</v>
      </c>
      <c r="L9" s="691">
        <f t="shared" si="9"/>
        <v>1001.9321216689528</v>
      </c>
      <c r="M9" s="690">
        <f t="shared" si="10"/>
        <v>91.268762675864693</v>
      </c>
      <c r="N9" s="690">
        <f t="shared" si="11"/>
        <v>91.268762675864693</v>
      </c>
      <c r="O9" s="693">
        <f t="shared" si="12"/>
        <v>5661.4178992582974</v>
      </c>
    </row>
    <row r="10" spans="1:15" x14ac:dyDescent="0.2">
      <c r="A10" s="663" t="s">
        <v>285</v>
      </c>
      <c r="B10" s="694">
        <f>FOFIR!I12</f>
        <v>31.1974437923142</v>
      </c>
      <c r="C10" s="690">
        <f t="shared" si="0"/>
        <v>1145041.1387623011</v>
      </c>
      <c r="D10" s="691">
        <f t="shared" si="1"/>
        <v>157519.0497677637</v>
      </c>
      <c r="E10" s="690">
        <f t="shared" si="2"/>
        <v>157519.0497677637</v>
      </c>
      <c r="F10" s="691">
        <f t="shared" si="3"/>
        <v>2791721.3044397081</v>
      </c>
      <c r="G10" s="690">
        <f t="shared" si="4"/>
        <v>157519.0497677637</v>
      </c>
      <c r="H10" s="690">
        <f t="shared" si="5"/>
        <v>157519.0497677637</v>
      </c>
      <c r="I10" s="690">
        <f t="shared" si="6"/>
        <v>2844804.4783193753</v>
      </c>
      <c r="J10" s="691">
        <f t="shared" si="7"/>
        <v>157519.0497677637</v>
      </c>
      <c r="K10" s="690">
        <f t="shared" si="8"/>
        <v>157519.0497677637</v>
      </c>
      <c r="L10" s="691">
        <f t="shared" si="9"/>
        <v>1729215.9015850013</v>
      </c>
      <c r="M10" s="690">
        <f t="shared" si="10"/>
        <v>157519.0497677637</v>
      </c>
      <c r="N10" s="690">
        <f t="shared" si="11"/>
        <v>157519.0497677637</v>
      </c>
      <c r="O10" s="693">
        <f t="shared" si="12"/>
        <v>9770935.2212484945</v>
      </c>
    </row>
    <row r="11" spans="1:15" x14ac:dyDescent="0.2">
      <c r="A11" s="663" t="s">
        <v>151</v>
      </c>
      <c r="B11" s="694">
        <f>FOFIR!I13</f>
        <v>2.3872898032926746</v>
      </c>
      <c r="C11" s="690">
        <f t="shared" si="0"/>
        <v>87620.801662965416</v>
      </c>
      <c r="D11" s="691">
        <f t="shared" si="1"/>
        <v>12053.667724776084</v>
      </c>
      <c r="E11" s="690">
        <f t="shared" si="2"/>
        <v>12053.667724776084</v>
      </c>
      <c r="F11" s="691">
        <f t="shared" si="3"/>
        <v>213628.00901546114</v>
      </c>
      <c r="G11" s="690">
        <f t="shared" si="4"/>
        <v>12053.667724776084</v>
      </c>
      <c r="H11" s="690">
        <f t="shared" si="5"/>
        <v>12053.667724776084</v>
      </c>
      <c r="I11" s="690">
        <f t="shared" si="6"/>
        <v>217690.03796158143</v>
      </c>
      <c r="J11" s="691">
        <f t="shared" si="7"/>
        <v>12053.667724776084</v>
      </c>
      <c r="K11" s="690">
        <f t="shared" si="8"/>
        <v>12053.667724776084</v>
      </c>
      <c r="L11" s="691">
        <f t="shared" si="9"/>
        <v>132323.00431493786</v>
      </c>
      <c r="M11" s="690">
        <f t="shared" si="10"/>
        <v>12053.667724776084</v>
      </c>
      <c r="N11" s="690">
        <f t="shared" si="11"/>
        <v>12053.667724776084</v>
      </c>
      <c r="O11" s="693">
        <f t="shared" si="12"/>
        <v>747691.19475315441</v>
      </c>
    </row>
    <row r="12" spans="1:15" x14ac:dyDescent="0.2">
      <c r="A12" s="663" t="s">
        <v>286</v>
      </c>
      <c r="B12" s="694">
        <f>FOFIR!I14</f>
        <v>2.3029990510555678E-3</v>
      </c>
      <c r="C12" s="690">
        <f t="shared" si="0"/>
        <v>84.527074511111834</v>
      </c>
      <c r="D12" s="691">
        <f t="shared" si="1"/>
        <v>11.628075189535421</v>
      </c>
      <c r="E12" s="690">
        <f t="shared" si="2"/>
        <v>11.628075189535421</v>
      </c>
      <c r="F12" s="691">
        <f t="shared" si="3"/>
        <v>206.08520229212462</v>
      </c>
      <c r="G12" s="690">
        <f t="shared" si="4"/>
        <v>11.628075189535421</v>
      </c>
      <c r="H12" s="690">
        <f t="shared" si="5"/>
        <v>11.628075189535421</v>
      </c>
      <c r="I12" s="690">
        <f t="shared" si="6"/>
        <v>210.00380856915584</v>
      </c>
      <c r="J12" s="691">
        <f t="shared" si="7"/>
        <v>11.628075189535421</v>
      </c>
      <c r="K12" s="690">
        <f t="shared" si="8"/>
        <v>11.628075189535421</v>
      </c>
      <c r="L12" s="691">
        <f t="shared" si="9"/>
        <v>127.65092572749681</v>
      </c>
      <c r="M12" s="690">
        <f t="shared" si="10"/>
        <v>11.628075189535421</v>
      </c>
      <c r="N12" s="690">
        <f t="shared" si="11"/>
        <v>11.628075189535421</v>
      </c>
      <c r="O12" s="693">
        <f t="shared" si="12"/>
        <v>721.29161261617219</v>
      </c>
    </row>
    <row r="13" spans="1:15" x14ac:dyDescent="0.2">
      <c r="A13" s="663" t="s">
        <v>153</v>
      </c>
      <c r="B13" s="694">
        <f>FOFIR!I15</f>
        <v>6.2567549513784101E-4</v>
      </c>
      <c r="C13" s="690">
        <f t="shared" si="0"/>
        <v>22.964194958331756</v>
      </c>
      <c r="D13" s="691">
        <f t="shared" si="1"/>
        <v>3.1590988708301797</v>
      </c>
      <c r="E13" s="690">
        <f t="shared" si="2"/>
        <v>3.1590988708301797</v>
      </c>
      <c r="F13" s="691">
        <f t="shared" si="3"/>
        <v>55.988933614891017</v>
      </c>
      <c r="G13" s="690">
        <f t="shared" si="4"/>
        <v>3.1590988708301797</v>
      </c>
      <c r="H13" s="690">
        <f t="shared" si="5"/>
        <v>3.1590988708301797</v>
      </c>
      <c r="I13" s="690">
        <f t="shared" si="6"/>
        <v>57.053534975238087</v>
      </c>
      <c r="J13" s="691">
        <f t="shared" si="7"/>
        <v>3.1590988708301797</v>
      </c>
      <c r="K13" s="690">
        <f t="shared" si="8"/>
        <v>3.1590988708301797</v>
      </c>
      <c r="L13" s="691">
        <f t="shared" si="9"/>
        <v>34.680021306456126</v>
      </c>
      <c r="M13" s="690">
        <f t="shared" si="10"/>
        <v>3.1590988708301797</v>
      </c>
      <c r="N13" s="690">
        <f t="shared" si="11"/>
        <v>3.1590988708301797</v>
      </c>
      <c r="O13" s="693">
        <f t="shared" si="12"/>
        <v>195.95947582155841</v>
      </c>
    </row>
    <row r="14" spans="1:15" x14ac:dyDescent="0.2">
      <c r="A14" s="663" t="s">
        <v>154</v>
      </c>
      <c r="B14" s="694">
        <f>FOFIR!I16</f>
        <v>0.17887221067679274</v>
      </c>
      <c r="C14" s="690">
        <f t="shared" si="0"/>
        <v>6565.1545418199757</v>
      </c>
      <c r="D14" s="691">
        <f t="shared" si="1"/>
        <v>903.14388714786355</v>
      </c>
      <c r="E14" s="690">
        <f t="shared" si="2"/>
        <v>903.14388714786355</v>
      </c>
      <c r="F14" s="691">
        <f t="shared" si="3"/>
        <v>16006.483244042343</v>
      </c>
      <c r="G14" s="690">
        <f t="shared" si="4"/>
        <v>903.14388714786355</v>
      </c>
      <c r="H14" s="690">
        <f t="shared" si="5"/>
        <v>903.14388714786355</v>
      </c>
      <c r="I14" s="690">
        <f t="shared" si="6"/>
        <v>16310.838457399148</v>
      </c>
      <c r="J14" s="691">
        <f t="shared" si="7"/>
        <v>903.14388714786355</v>
      </c>
      <c r="K14" s="690">
        <f t="shared" si="8"/>
        <v>903.14388714786355</v>
      </c>
      <c r="L14" s="691">
        <f t="shared" si="9"/>
        <v>9914.5517534412138</v>
      </c>
      <c r="M14" s="690">
        <f t="shared" si="10"/>
        <v>903.14388714786355</v>
      </c>
      <c r="N14" s="690">
        <f t="shared" si="11"/>
        <v>903.14388714786355</v>
      </c>
      <c r="O14" s="693">
        <f t="shared" si="12"/>
        <v>56022.179093885577</v>
      </c>
    </row>
    <row r="15" spans="1:15" x14ac:dyDescent="0.2">
      <c r="A15" s="663" t="s">
        <v>155</v>
      </c>
      <c r="B15" s="694">
        <f>FOFIR!I17</f>
        <v>4.2590093621651476E-2</v>
      </c>
      <c r="C15" s="690">
        <f t="shared" si="0"/>
        <v>1563.1860618190506</v>
      </c>
      <c r="D15" s="691">
        <f t="shared" si="1"/>
        <v>215.04169128290573</v>
      </c>
      <c r="E15" s="690">
        <f t="shared" si="2"/>
        <v>215.04169128290573</v>
      </c>
      <c r="F15" s="691">
        <f t="shared" si="3"/>
        <v>3811.1991646872771</v>
      </c>
      <c r="G15" s="690">
        <f t="shared" si="4"/>
        <v>215.04169128290573</v>
      </c>
      <c r="H15" s="690">
        <f t="shared" si="5"/>
        <v>215.04169128290573</v>
      </c>
      <c r="I15" s="690">
        <f t="shared" si="6"/>
        <v>3883.667196373463</v>
      </c>
      <c r="J15" s="691">
        <f t="shared" si="7"/>
        <v>215.04169128290573</v>
      </c>
      <c r="K15" s="690">
        <f t="shared" si="8"/>
        <v>215.04169128290573</v>
      </c>
      <c r="L15" s="691">
        <f t="shared" si="9"/>
        <v>2360.6891523175836</v>
      </c>
      <c r="M15" s="690">
        <f t="shared" si="10"/>
        <v>215.04169128290573</v>
      </c>
      <c r="N15" s="690">
        <f t="shared" si="11"/>
        <v>215.04169128290573</v>
      </c>
      <c r="O15" s="693">
        <f t="shared" si="12"/>
        <v>13339.075105460621</v>
      </c>
    </row>
    <row r="16" spans="1:15" x14ac:dyDescent="0.2">
      <c r="A16" s="663" t="s">
        <v>156</v>
      </c>
      <c r="B16" s="694">
        <f>FOFIR!I18</f>
        <v>3.9543530337924418E-3</v>
      </c>
      <c r="C16" s="690">
        <f t="shared" si="0"/>
        <v>145.13679168795713</v>
      </c>
      <c r="D16" s="691">
        <f t="shared" si="1"/>
        <v>19.965928506062834</v>
      </c>
      <c r="E16" s="690">
        <f t="shared" si="2"/>
        <v>19.965928506062834</v>
      </c>
      <c r="F16" s="691">
        <f t="shared" si="3"/>
        <v>353.85756869073452</v>
      </c>
      <c r="G16" s="690">
        <f t="shared" si="4"/>
        <v>19.965928506062834</v>
      </c>
      <c r="H16" s="690">
        <f t="shared" si="5"/>
        <v>19.965928506062834</v>
      </c>
      <c r="I16" s="690">
        <f t="shared" si="6"/>
        <v>360.58599205361622</v>
      </c>
      <c r="J16" s="691">
        <f t="shared" si="7"/>
        <v>19.965928506062834</v>
      </c>
      <c r="K16" s="690">
        <f t="shared" si="8"/>
        <v>19.965928506062834</v>
      </c>
      <c r="L16" s="691">
        <f t="shared" si="9"/>
        <v>219.18238532733167</v>
      </c>
      <c r="M16" s="690">
        <f t="shared" si="10"/>
        <v>19.965928506062834</v>
      </c>
      <c r="N16" s="690">
        <f t="shared" si="11"/>
        <v>19.965928506062834</v>
      </c>
      <c r="O16" s="693">
        <f t="shared" si="12"/>
        <v>1238.4901658081424</v>
      </c>
    </row>
    <row r="17" spans="1:15" x14ac:dyDescent="0.2">
      <c r="A17" s="663" t="s">
        <v>157</v>
      </c>
      <c r="B17" s="694">
        <f>FOFIR!I19</f>
        <v>4.3491121274492422E-2</v>
      </c>
      <c r="C17" s="690">
        <f t="shared" si="0"/>
        <v>1596.2565190184798</v>
      </c>
      <c r="D17" s="691">
        <f t="shared" si="1"/>
        <v>219.59107105372371</v>
      </c>
      <c r="E17" s="690">
        <f t="shared" si="2"/>
        <v>219.59107105372371</v>
      </c>
      <c r="F17" s="691">
        <f t="shared" si="3"/>
        <v>3891.8281454163025</v>
      </c>
      <c r="G17" s="690">
        <f t="shared" si="4"/>
        <v>219.59107105372371</v>
      </c>
      <c r="H17" s="690">
        <f t="shared" si="5"/>
        <v>219.59107105372371</v>
      </c>
      <c r="I17" s="690">
        <f t="shared" si="6"/>
        <v>3965.8292965428041</v>
      </c>
      <c r="J17" s="691">
        <f t="shared" si="7"/>
        <v>219.59107105372371</v>
      </c>
      <c r="K17" s="690">
        <f t="shared" si="8"/>
        <v>219.59107105372371</v>
      </c>
      <c r="L17" s="691">
        <f t="shared" si="9"/>
        <v>2410.6314282114895</v>
      </c>
      <c r="M17" s="690">
        <f t="shared" si="10"/>
        <v>219.59107105372371</v>
      </c>
      <c r="N17" s="690">
        <f t="shared" si="11"/>
        <v>219.59107105372371</v>
      </c>
      <c r="O17" s="693">
        <f t="shared" si="12"/>
        <v>13621.273957618869</v>
      </c>
    </row>
    <row r="18" spans="1:15" x14ac:dyDescent="0.2">
      <c r="A18" s="663" t="s">
        <v>158</v>
      </c>
      <c r="B18" s="694">
        <f>FOFIR!I20</f>
        <v>4.2379857637338966E-2</v>
      </c>
      <c r="C18" s="690">
        <f t="shared" si="0"/>
        <v>1555.4697613269791</v>
      </c>
      <c r="D18" s="691">
        <f t="shared" si="1"/>
        <v>213.98018852978419</v>
      </c>
      <c r="E18" s="690">
        <f t="shared" si="2"/>
        <v>213.98018852978419</v>
      </c>
      <c r="F18" s="691">
        <f t="shared" si="3"/>
        <v>3792.3860760165412</v>
      </c>
      <c r="G18" s="690">
        <f t="shared" si="4"/>
        <v>213.98018852978419</v>
      </c>
      <c r="H18" s="690">
        <f t="shared" si="5"/>
        <v>213.98018852978419</v>
      </c>
      <c r="I18" s="690">
        <f t="shared" si="6"/>
        <v>3864.4963863014063</v>
      </c>
      <c r="J18" s="691">
        <f t="shared" si="7"/>
        <v>213.98018852978419</v>
      </c>
      <c r="K18" s="690">
        <f t="shared" si="8"/>
        <v>213.98018852978419</v>
      </c>
      <c r="L18" s="691">
        <f t="shared" si="9"/>
        <v>2349.0361653107407</v>
      </c>
      <c r="M18" s="690">
        <f t="shared" si="10"/>
        <v>213.98018852978419</v>
      </c>
      <c r="N18" s="690">
        <f t="shared" si="11"/>
        <v>213.98018852978419</v>
      </c>
      <c r="O18" s="693">
        <f t="shared" si="12"/>
        <v>13273.22989719394</v>
      </c>
    </row>
    <row r="19" spans="1:15" x14ac:dyDescent="0.2">
      <c r="A19" s="663" t="s">
        <v>159</v>
      </c>
      <c r="B19" s="694">
        <f>FOFIR!I21</f>
        <v>0.11111229395903013</v>
      </c>
      <c r="C19" s="690">
        <f t="shared" si="0"/>
        <v>4078.1593662710061</v>
      </c>
      <c r="D19" s="691">
        <f t="shared" si="1"/>
        <v>561.01721277096181</v>
      </c>
      <c r="E19" s="690">
        <f t="shared" si="2"/>
        <v>561.01721277096181</v>
      </c>
      <c r="F19" s="691">
        <f t="shared" si="3"/>
        <v>9942.9478996933522</v>
      </c>
      <c r="G19" s="690">
        <f t="shared" si="4"/>
        <v>561.01721277096181</v>
      </c>
      <c r="H19" s="690">
        <f t="shared" si="5"/>
        <v>561.01721277096181</v>
      </c>
      <c r="I19" s="690">
        <f t="shared" si="6"/>
        <v>10132.008043840451</v>
      </c>
      <c r="J19" s="691">
        <f t="shared" si="7"/>
        <v>561.01721277096181</v>
      </c>
      <c r="K19" s="690">
        <f t="shared" si="8"/>
        <v>561.01721277096181</v>
      </c>
      <c r="L19" s="691">
        <f t="shared" si="9"/>
        <v>6158.7464298237437</v>
      </c>
      <c r="M19" s="690">
        <f t="shared" si="10"/>
        <v>561.01721277096181</v>
      </c>
      <c r="N19" s="690">
        <f t="shared" si="11"/>
        <v>561.01721277096181</v>
      </c>
      <c r="O19" s="693">
        <f t="shared" si="12"/>
        <v>34799.999441796244</v>
      </c>
    </row>
    <row r="20" spans="1:15" x14ac:dyDescent="0.2">
      <c r="A20" s="663" t="s">
        <v>287</v>
      </c>
      <c r="B20" s="694">
        <f>FOFIR!I22</f>
        <v>8.2424795367772846E-3</v>
      </c>
      <c r="C20" s="690">
        <f t="shared" si="0"/>
        <v>302.52408555798297</v>
      </c>
      <c r="D20" s="691">
        <f t="shared" si="1"/>
        <v>41.617113023960499</v>
      </c>
      <c r="E20" s="690">
        <f t="shared" si="2"/>
        <v>41.617113023960499</v>
      </c>
      <c r="F20" s="691">
        <f t="shared" si="3"/>
        <v>737.58304934901093</v>
      </c>
      <c r="G20" s="690">
        <f t="shared" si="4"/>
        <v>41.617113023960499</v>
      </c>
      <c r="H20" s="690">
        <f t="shared" si="5"/>
        <v>41.617113023960499</v>
      </c>
      <c r="I20" s="690">
        <f t="shared" si="6"/>
        <v>751.60781937065417</v>
      </c>
      <c r="J20" s="691">
        <f t="shared" si="7"/>
        <v>41.617113023960499</v>
      </c>
      <c r="K20" s="690">
        <f t="shared" si="8"/>
        <v>41.617113023960499</v>
      </c>
      <c r="L20" s="691">
        <f t="shared" si="9"/>
        <v>456.86520916164392</v>
      </c>
      <c r="M20" s="690">
        <f t="shared" si="10"/>
        <v>41.617113023960499</v>
      </c>
      <c r="N20" s="690">
        <f t="shared" si="11"/>
        <v>41.617113023960499</v>
      </c>
      <c r="O20" s="693">
        <f t="shared" si="12"/>
        <v>2581.5170676309754</v>
      </c>
    </row>
    <row r="21" spans="1:15" x14ac:dyDescent="0.2">
      <c r="A21" s="663" t="s">
        <v>288</v>
      </c>
      <c r="B21" s="694">
        <f>FOFIR!I23</f>
        <v>3.6097150337220503E-2</v>
      </c>
      <c r="C21" s="690">
        <f t="shared" si="0"/>
        <v>1324.8752815571279</v>
      </c>
      <c r="D21" s="691">
        <f t="shared" si="1"/>
        <v>182.25816378724866</v>
      </c>
      <c r="E21" s="690">
        <f t="shared" si="2"/>
        <v>182.25816378724866</v>
      </c>
      <c r="F21" s="691">
        <f t="shared" si="3"/>
        <v>3230.1743789280563</v>
      </c>
      <c r="G21" s="690">
        <f t="shared" si="4"/>
        <v>182.25816378724866</v>
      </c>
      <c r="H21" s="690">
        <f t="shared" si="5"/>
        <v>182.25816378724866</v>
      </c>
      <c r="I21" s="690">
        <f t="shared" si="6"/>
        <v>3291.594517086402</v>
      </c>
      <c r="J21" s="691">
        <f t="shared" si="7"/>
        <v>182.25816378724866</v>
      </c>
      <c r="K21" s="690">
        <f t="shared" si="8"/>
        <v>182.25816378724866</v>
      </c>
      <c r="L21" s="691">
        <f t="shared" si="9"/>
        <v>2000.7974621434792</v>
      </c>
      <c r="M21" s="690">
        <f t="shared" si="10"/>
        <v>182.25816378724866</v>
      </c>
      <c r="N21" s="690">
        <f t="shared" si="11"/>
        <v>182.25816378724866</v>
      </c>
      <c r="O21" s="693">
        <f t="shared" si="12"/>
        <v>11305.506950013052</v>
      </c>
    </row>
    <row r="22" spans="1:15" x14ac:dyDescent="0.2">
      <c r="A22" s="663" t="s">
        <v>289</v>
      </c>
      <c r="B22" s="694">
        <f>FOFIR!I24</f>
        <v>0.86152712686166921</v>
      </c>
      <c r="C22" s="690">
        <f t="shared" si="0"/>
        <v>31620.667673398591</v>
      </c>
      <c r="D22" s="691">
        <f t="shared" si="1"/>
        <v>4349.9376191146312</v>
      </c>
      <c r="E22" s="690">
        <f t="shared" si="2"/>
        <v>4349.9376191146312</v>
      </c>
      <c r="F22" s="691">
        <f t="shared" si="3"/>
        <v>77094.253312028857</v>
      </c>
      <c r="G22" s="690">
        <f t="shared" si="4"/>
        <v>4349.9376191146312</v>
      </c>
      <c r="H22" s="690">
        <f t="shared" si="5"/>
        <v>4349.9376191146312</v>
      </c>
      <c r="I22" s="690">
        <f t="shared" si="6"/>
        <v>78560.161691628688</v>
      </c>
      <c r="J22" s="691">
        <f t="shared" si="7"/>
        <v>4349.9376191146312</v>
      </c>
      <c r="K22" s="690">
        <f t="shared" si="8"/>
        <v>4349.9376191146312</v>
      </c>
      <c r="L22" s="691">
        <f t="shared" si="9"/>
        <v>47752.835691719585</v>
      </c>
      <c r="M22" s="690">
        <f t="shared" si="10"/>
        <v>4349.9376191146312</v>
      </c>
      <c r="N22" s="690">
        <f t="shared" si="11"/>
        <v>4349.9376191146312</v>
      </c>
      <c r="O22" s="693">
        <f t="shared" si="12"/>
        <v>269827.41932169278</v>
      </c>
    </row>
    <row r="23" spans="1:15" x14ac:dyDescent="0.2">
      <c r="A23" s="663" t="s">
        <v>163</v>
      </c>
      <c r="B23" s="694">
        <f>FOFIR!I25</f>
        <v>9.3166264875291255E-2</v>
      </c>
      <c r="C23" s="690">
        <f t="shared" si="0"/>
        <v>3419.4854789133447</v>
      </c>
      <c r="D23" s="691">
        <f t="shared" si="1"/>
        <v>470.40589643383237</v>
      </c>
      <c r="E23" s="690">
        <f t="shared" si="2"/>
        <v>470.40589643383237</v>
      </c>
      <c r="F23" s="691">
        <f t="shared" si="3"/>
        <v>8337.037105953541</v>
      </c>
      <c r="G23" s="690">
        <f t="shared" si="4"/>
        <v>470.40589643383237</v>
      </c>
      <c r="H23" s="690">
        <f t="shared" si="5"/>
        <v>470.40589643383237</v>
      </c>
      <c r="I23" s="690">
        <f t="shared" si="6"/>
        <v>8495.5616655622543</v>
      </c>
      <c r="J23" s="691">
        <f t="shared" si="7"/>
        <v>470.40589643383237</v>
      </c>
      <c r="K23" s="690">
        <f t="shared" si="8"/>
        <v>470.40589643383237</v>
      </c>
      <c r="L23" s="691">
        <f t="shared" si="9"/>
        <v>5164.031636249747</v>
      </c>
      <c r="M23" s="690">
        <f t="shared" si="10"/>
        <v>470.40589643383237</v>
      </c>
      <c r="N23" s="690">
        <f t="shared" si="11"/>
        <v>470.40589643383237</v>
      </c>
      <c r="O23" s="693">
        <f t="shared" si="12"/>
        <v>29179.363058149549</v>
      </c>
    </row>
    <row r="24" spans="1:15" x14ac:dyDescent="0.2">
      <c r="A24" s="663" t="s">
        <v>164</v>
      </c>
      <c r="B24" s="694">
        <f>FOFIR!I26</f>
        <v>63.141328948508402</v>
      </c>
      <c r="C24" s="690">
        <f t="shared" si="0"/>
        <v>2317478.9474250702</v>
      </c>
      <c r="D24" s="691">
        <f t="shared" si="1"/>
        <v>318806.95749480353</v>
      </c>
      <c r="E24" s="690">
        <f t="shared" si="2"/>
        <v>318806.95749480353</v>
      </c>
      <c r="F24" s="691">
        <f t="shared" si="3"/>
        <v>5650238.3461177405</v>
      </c>
      <c r="G24" s="690">
        <f t="shared" si="4"/>
        <v>318806.95749480353</v>
      </c>
      <c r="H24" s="690">
        <f t="shared" si="5"/>
        <v>318806.95749480353</v>
      </c>
      <c r="I24" s="690">
        <f t="shared" si="6"/>
        <v>5757674.7811628673</v>
      </c>
      <c r="J24" s="691">
        <f t="shared" si="7"/>
        <v>318806.95749480353</v>
      </c>
      <c r="K24" s="690">
        <f t="shared" si="8"/>
        <v>318806.95749480353</v>
      </c>
      <c r="L24" s="691">
        <f t="shared" si="9"/>
        <v>3499805.6504830988</v>
      </c>
      <c r="M24" s="690">
        <f t="shared" si="10"/>
        <v>318806.95749480353</v>
      </c>
      <c r="N24" s="690">
        <f t="shared" si="11"/>
        <v>318806.95749480353</v>
      </c>
      <c r="O24" s="693">
        <f t="shared" si="12"/>
        <v>19775653.385147203</v>
      </c>
    </row>
    <row r="25" spans="1:15" x14ac:dyDescent="0.2">
      <c r="A25" s="663" t="s">
        <v>165</v>
      </c>
      <c r="B25" s="694">
        <f>FOFIR!I27</f>
        <v>4.8135619624637679E-2</v>
      </c>
      <c r="C25" s="690">
        <f t="shared" si="0"/>
        <v>1766.7237443217311</v>
      </c>
      <c r="D25" s="691">
        <f t="shared" si="1"/>
        <v>243.0416130799606</v>
      </c>
      <c r="E25" s="690">
        <f t="shared" si="2"/>
        <v>243.0416130799606</v>
      </c>
      <c r="F25" s="691">
        <f t="shared" si="3"/>
        <v>4307.4437669669996</v>
      </c>
      <c r="G25" s="690">
        <f t="shared" si="4"/>
        <v>243.0416130799606</v>
      </c>
      <c r="H25" s="690">
        <f t="shared" si="5"/>
        <v>243.0416130799606</v>
      </c>
      <c r="I25" s="690">
        <f t="shared" si="6"/>
        <v>4389.3476397121649</v>
      </c>
      <c r="J25" s="691">
        <f t="shared" si="7"/>
        <v>243.0416130799606</v>
      </c>
      <c r="K25" s="690">
        <f t="shared" si="8"/>
        <v>243.0416130799606</v>
      </c>
      <c r="L25" s="691">
        <f t="shared" si="9"/>
        <v>2668.0672763348889</v>
      </c>
      <c r="M25" s="690">
        <f t="shared" si="10"/>
        <v>243.0416130799606</v>
      </c>
      <c r="N25" s="690">
        <f t="shared" si="11"/>
        <v>243.0416130799606</v>
      </c>
      <c r="O25" s="693">
        <f t="shared" si="12"/>
        <v>15075.915331975468</v>
      </c>
    </row>
    <row r="26" spans="1:15" ht="13.5" thickBot="1" x14ac:dyDescent="0.25">
      <c r="A26" s="663" t="s">
        <v>166</v>
      </c>
      <c r="B26" s="695">
        <f>FOFIR!I28</f>
        <v>1.5310997225350518</v>
      </c>
      <c r="C26" s="690">
        <f t="shared" si="0"/>
        <v>56196.019825255367</v>
      </c>
      <c r="D26" s="691">
        <f t="shared" si="1"/>
        <v>7730.6773913580855</v>
      </c>
      <c r="E26" s="690">
        <f t="shared" si="2"/>
        <v>7730.6773913580855</v>
      </c>
      <c r="F26" s="691">
        <f t="shared" si="3"/>
        <v>137011.34436135666</v>
      </c>
      <c r="G26" s="690">
        <f t="shared" si="4"/>
        <v>7730.6773913580855</v>
      </c>
      <c r="H26" s="690">
        <f t="shared" si="5"/>
        <v>7730.6773913580855</v>
      </c>
      <c r="I26" s="696">
        <f t="shared" si="6"/>
        <v>139616.54603555478</v>
      </c>
      <c r="J26" s="691">
        <f t="shared" si="7"/>
        <v>7730.6773913580855</v>
      </c>
      <c r="K26" s="690">
        <f t="shared" si="8"/>
        <v>7730.6773913580855</v>
      </c>
      <c r="L26" s="691">
        <f t="shared" si="9"/>
        <v>84865.991096753205</v>
      </c>
      <c r="M26" s="690">
        <f t="shared" si="10"/>
        <v>7730.6773913580855</v>
      </c>
      <c r="N26" s="690">
        <f t="shared" si="11"/>
        <v>7730.6773913580855</v>
      </c>
      <c r="O26" s="693">
        <f t="shared" si="12"/>
        <v>479535.32044978469</v>
      </c>
    </row>
    <row r="27" spans="1:15" ht="13.5" thickBot="1" x14ac:dyDescent="0.25">
      <c r="A27" s="668" t="s">
        <v>290</v>
      </c>
      <c r="B27" s="697">
        <f t="shared" ref="B27:N27" si="13">SUM(B7:B26)</f>
        <v>99.999999999999972</v>
      </c>
      <c r="C27" s="698">
        <f t="shared" si="13"/>
        <v>3670304.3569370685</v>
      </c>
      <c r="D27" s="698">
        <f t="shared" si="13"/>
        <v>504910.11640694132</v>
      </c>
      <c r="E27" s="698">
        <f t="shared" si="13"/>
        <v>504910.11640694132</v>
      </c>
      <c r="F27" s="698">
        <f t="shared" si="13"/>
        <v>8948557.8466767706</v>
      </c>
      <c r="G27" s="698">
        <f t="shared" si="13"/>
        <v>504910.11640694132</v>
      </c>
      <c r="H27" s="698">
        <f t="shared" si="13"/>
        <v>504910.11640694132</v>
      </c>
      <c r="I27" s="698">
        <f t="shared" si="13"/>
        <v>9118710.1650303174</v>
      </c>
      <c r="J27" s="698">
        <f t="shared" si="13"/>
        <v>504910.11640694132</v>
      </c>
      <c r="K27" s="698">
        <f t="shared" si="13"/>
        <v>504910.11640694132</v>
      </c>
      <c r="L27" s="698">
        <f t="shared" si="13"/>
        <v>5542812.7801003074</v>
      </c>
      <c r="M27" s="698">
        <f t="shared" si="13"/>
        <v>504910.11640694132</v>
      </c>
      <c r="N27" s="698">
        <f t="shared" si="13"/>
        <v>504910.11640694132</v>
      </c>
      <c r="O27" s="698">
        <f t="shared" si="12"/>
        <v>31319666.079999991</v>
      </c>
    </row>
    <row r="28" spans="1:15" x14ac:dyDescent="0.2">
      <c r="A28" s="671"/>
      <c r="B28" s="671"/>
      <c r="C28" s="671"/>
      <c r="D28" s="671"/>
      <c r="E28" s="671"/>
      <c r="F28" s="671"/>
      <c r="G28" s="671"/>
      <c r="H28" s="671"/>
      <c r="I28" s="671"/>
      <c r="J28" s="671"/>
      <c r="K28" s="671"/>
      <c r="L28" s="671"/>
      <c r="M28" s="671"/>
      <c r="N28" s="671"/>
      <c r="O28" s="671"/>
    </row>
    <row r="29" spans="1:15" x14ac:dyDescent="0.2">
      <c r="A29" s="672" t="s">
        <v>291</v>
      </c>
    </row>
    <row r="32" spans="1:15" x14ac:dyDescent="0.2">
      <c r="C32" s="667">
        <f>'FOFIR ESTIMACIONES'!C33</f>
        <v>3670304.3569370685</v>
      </c>
      <c r="D32" s="667">
        <f>'FOFIR ESTIMACIONES'!D33</f>
        <v>504910.11640694132</v>
      </c>
      <c r="E32" s="667">
        <f>'FOFIR ESTIMACIONES'!E33</f>
        <v>504910.11640694132</v>
      </c>
      <c r="F32" s="667">
        <f>'FOFIR ESTIMACIONES'!F33</f>
        <v>8948557.8466767725</v>
      </c>
      <c r="G32" s="667">
        <f>'FOFIR ESTIMACIONES'!G33</f>
        <v>504910.11640694132</v>
      </c>
      <c r="H32" s="667">
        <f>'FOFIR ESTIMACIONES'!H33</f>
        <v>504910.11640694132</v>
      </c>
      <c r="I32" s="667">
        <f>'FOFIR ESTIMACIONES'!I33</f>
        <v>9118710.1650303192</v>
      </c>
      <c r="J32" s="667">
        <f>'FOFIR ESTIMACIONES'!J33</f>
        <v>504910.11640694132</v>
      </c>
      <c r="K32" s="667">
        <f>'FOFIR ESTIMACIONES'!K33</f>
        <v>504910.11640694132</v>
      </c>
      <c r="L32" s="667">
        <f>'FOFIR ESTIMACIONES'!L33</f>
        <v>5542812.7801003074</v>
      </c>
      <c r="M32" s="667">
        <f>'FOFIR ESTIMACIONES'!M33</f>
        <v>504910.11640694132</v>
      </c>
      <c r="N32" s="667">
        <f>'FOFIR ESTIMACIONES'!N33</f>
        <v>504910.11640694132</v>
      </c>
      <c r="O32" s="667">
        <f>'FOFIR ESTIMACIONES'!O33</f>
        <v>31319666.079999983</v>
      </c>
    </row>
  </sheetData>
  <mergeCells count="4">
    <mergeCell ref="A1:O1"/>
    <mergeCell ref="A2:O2"/>
    <mergeCell ref="A3:O3"/>
    <mergeCell ref="A4:O4"/>
  </mergeCells>
  <printOptions horizontalCentered="1"/>
  <pageMargins left="0.78740157480314965" right="0.78740157480314965" top="0.98425196850393704" bottom="0.98425196850393704" header="0" footer="0"/>
  <pageSetup paperSize="5" scale="90"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tabColor rgb="FF7030A0"/>
  </sheetPr>
  <dimension ref="A1:O34"/>
  <sheetViews>
    <sheetView topLeftCell="A10" workbookViewId="0">
      <selection sqref="A1:O1"/>
    </sheetView>
  </sheetViews>
  <sheetFormatPr baseColWidth="10" defaultRowHeight="12.75" x14ac:dyDescent="0.2"/>
  <cols>
    <col min="1" max="1" width="15.42578125" style="658" customWidth="1"/>
    <col min="2" max="2" width="9.28515625" style="658" customWidth="1"/>
    <col min="3" max="3" width="11.85546875" style="658" bestFit="1" customWidth="1"/>
    <col min="4" max="5" width="11.7109375" style="658" bestFit="1" customWidth="1"/>
    <col min="6" max="6" width="12.7109375" style="658" bestFit="1" customWidth="1"/>
    <col min="7" max="8" width="11.7109375" style="658" bestFit="1" customWidth="1"/>
    <col min="9" max="9" width="11.85546875" style="658" bestFit="1" customWidth="1"/>
    <col min="10" max="11" width="11.7109375" style="658" bestFit="1" customWidth="1"/>
    <col min="12" max="12" width="11.85546875" style="658" bestFit="1" customWidth="1"/>
    <col min="13" max="14" width="11.7109375" style="658" bestFit="1" customWidth="1"/>
    <col min="15" max="15" width="13.140625" style="658" bestFit="1" customWidth="1"/>
    <col min="16" max="16384" width="11.42578125" style="658"/>
  </cols>
  <sheetData>
    <row r="1" spans="1:15" ht="15.75" x14ac:dyDescent="0.25">
      <c r="A1" s="1019" t="s">
        <v>279</v>
      </c>
      <c r="B1" s="1019"/>
      <c r="C1" s="1019"/>
      <c r="D1" s="1019"/>
      <c r="E1" s="1019"/>
      <c r="F1" s="1019"/>
      <c r="G1" s="1019"/>
      <c r="H1" s="1019"/>
      <c r="I1" s="1019"/>
      <c r="J1" s="1019"/>
      <c r="K1" s="1019"/>
      <c r="L1" s="1019"/>
      <c r="M1" s="1019"/>
      <c r="N1" s="1019"/>
      <c r="O1" s="1019"/>
    </row>
    <row r="2" spans="1:15" x14ac:dyDescent="0.2">
      <c r="A2" s="1020" t="s">
        <v>280</v>
      </c>
      <c r="B2" s="1020"/>
      <c r="C2" s="1020"/>
      <c r="D2" s="1020"/>
      <c r="E2" s="1020"/>
      <c r="F2" s="1020"/>
      <c r="G2" s="1020"/>
      <c r="H2" s="1020"/>
      <c r="I2" s="1020"/>
      <c r="J2" s="1020"/>
      <c r="K2" s="1020"/>
      <c r="L2" s="1020"/>
      <c r="M2" s="1020"/>
      <c r="N2" s="1020"/>
      <c r="O2" s="1020"/>
    </row>
    <row r="3" spans="1:15" x14ac:dyDescent="0.2">
      <c r="A3" s="1020" t="s">
        <v>281</v>
      </c>
      <c r="B3" s="1020"/>
      <c r="C3" s="1020"/>
      <c r="D3" s="1020"/>
      <c r="E3" s="1020"/>
      <c r="F3" s="1020"/>
      <c r="G3" s="1020"/>
      <c r="H3" s="1020"/>
      <c r="I3" s="1020"/>
      <c r="J3" s="1020"/>
      <c r="K3" s="1020"/>
      <c r="L3" s="1020"/>
      <c r="M3" s="1020"/>
      <c r="N3" s="1020"/>
      <c r="O3" s="1020"/>
    </row>
    <row r="4" spans="1:15" x14ac:dyDescent="0.2">
      <c r="A4" s="1021" t="s">
        <v>361</v>
      </c>
      <c r="B4" s="1021"/>
      <c r="C4" s="1021"/>
      <c r="D4" s="1021"/>
      <c r="E4" s="1021"/>
      <c r="F4" s="1021"/>
      <c r="G4" s="1021"/>
      <c r="H4" s="1021"/>
      <c r="I4" s="1021"/>
      <c r="J4" s="1021"/>
      <c r="K4" s="1021"/>
      <c r="L4" s="1021"/>
      <c r="M4" s="1021"/>
      <c r="N4" s="1021"/>
      <c r="O4" s="1021"/>
    </row>
    <row r="5" spans="1:15" ht="13.5" thickBot="1" x14ac:dyDescent="0.25"/>
    <row r="6" spans="1:15" ht="23.25" thickBot="1" x14ac:dyDescent="0.25">
      <c r="A6" s="659" t="s">
        <v>351</v>
      </c>
      <c r="B6" s="660" t="s">
        <v>283</v>
      </c>
      <c r="C6" s="659" t="s">
        <v>1</v>
      </c>
      <c r="D6" s="661" t="s">
        <v>2</v>
      </c>
      <c r="E6" s="659" t="s">
        <v>3</v>
      </c>
      <c r="F6" s="661" t="s">
        <v>4</v>
      </c>
      <c r="G6" s="659" t="s">
        <v>5</v>
      </c>
      <c r="H6" s="659" t="s">
        <v>6</v>
      </c>
      <c r="I6" s="659" t="s">
        <v>7</v>
      </c>
      <c r="J6" s="661" t="s">
        <v>8</v>
      </c>
      <c r="K6" s="659" t="s">
        <v>9</v>
      </c>
      <c r="L6" s="661" t="s">
        <v>10</v>
      </c>
      <c r="M6" s="659" t="s">
        <v>11</v>
      </c>
      <c r="N6" s="659" t="s">
        <v>12</v>
      </c>
      <c r="O6" s="662" t="s">
        <v>169</v>
      </c>
    </row>
    <row r="7" spans="1:15" x14ac:dyDescent="0.2">
      <c r="A7" s="663" t="s">
        <v>284</v>
      </c>
      <c r="B7" s="674">
        <v>3.6499999999999998E-2</v>
      </c>
      <c r="C7" s="690">
        <v>154257.12253206508</v>
      </c>
      <c r="D7" s="691">
        <v>120162.95703191035</v>
      </c>
      <c r="E7" s="690">
        <v>120162.95703191035</v>
      </c>
      <c r="F7" s="691">
        <v>181543.94365766429</v>
      </c>
      <c r="G7" s="690">
        <v>120162.95703191035</v>
      </c>
      <c r="H7" s="690">
        <v>120162.95703191035</v>
      </c>
      <c r="I7" s="692">
        <v>152643.60360410286</v>
      </c>
      <c r="J7" s="691">
        <v>120162.95703191037</v>
      </c>
      <c r="K7" s="690">
        <v>120162.95703191037</v>
      </c>
      <c r="L7" s="691">
        <v>159154.33645088488</v>
      </c>
      <c r="M7" s="690">
        <v>120162.9570319104</v>
      </c>
      <c r="N7" s="690">
        <v>120162.9570319104</v>
      </c>
      <c r="O7" s="693">
        <f t="shared" ref="O7:O27" si="0">SUM(C7:N7)</f>
        <v>1608902.6624999996</v>
      </c>
    </row>
    <row r="8" spans="1:15" x14ac:dyDescent="0.2">
      <c r="A8" s="663" t="s">
        <v>148</v>
      </c>
      <c r="B8" s="675">
        <v>1.49E-2</v>
      </c>
      <c r="C8" s="690">
        <v>62970.715773363561</v>
      </c>
      <c r="D8" s="691">
        <v>49052.82355549217</v>
      </c>
      <c r="E8" s="690">
        <v>49052.82355549217</v>
      </c>
      <c r="F8" s="691">
        <v>74109.719465731454</v>
      </c>
      <c r="G8" s="690">
        <v>49052.82355549217</v>
      </c>
      <c r="H8" s="690">
        <v>49052.82355549217</v>
      </c>
      <c r="I8" s="690">
        <v>62312.046402770757</v>
      </c>
      <c r="J8" s="691">
        <v>49052.823555492178</v>
      </c>
      <c r="K8" s="690">
        <v>49052.823555492178</v>
      </c>
      <c r="L8" s="691">
        <v>64969.852414196837</v>
      </c>
      <c r="M8" s="690">
        <v>49052.823555492192</v>
      </c>
      <c r="N8" s="690">
        <v>49052.823555492192</v>
      </c>
      <c r="O8" s="693">
        <f t="shared" si="0"/>
        <v>656784.92249999999</v>
      </c>
    </row>
    <row r="9" spans="1:15" x14ac:dyDescent="0.2">
      <c r="A9" s="663" t="s">
        <v>149</v>
      </c>
      <c r="B9" s="675">
        <v>1.09E-2</v>
      </c>
      <c r="C9" s="690">
        <v>46065.825632863278</v>
      </c>
      <c r="D9" s="691">
        <v>35884.280319118436</v>
      </c>
      <c r="E9" s="690">
        <v>35884.280319118436</v>
      </c>
      <c r="F9" s="691">
        <v>54214.492763521666</v>
      </c>
      <c r="G9" s="690">
        <v>35884.280319118436</v>
      </c>
      <c r="H9" s="690">
        <v>35884.280319118436</v>
      </c>
      <c r="I9" s="690">
        <v>45583.980254375922</v>
      </c>
      <c r="J9" s="691">
        <v>35884.280319118443</v>
      </c>
      <c r="K9" s="690">
        <v>35884.280319118443</v>
      </c>
      <c r="L9" s="691">
        <v>47528.281296291651</v>
      </c>
      <c r="M9" s="690">
        <v>35884.28031911845</v>
      </c>
      <c r="N9" s="690">
        <v>35884.28031911845</v>
      </c>
      <c r="O9" s="693">
        <f t="shared" si="0"/>
        <v>480466.82250000013</v>
      </c>
    </row>
    <row r="10" spans="1:15" x14ac:dyDescent="0.2">
      <c r="A10" s="663" t="s">
        <v>285</v>
      </c>
      <c r="B10" s="675">
        <v>8.8200000000000001E-2</v>
      </c>
      <c r="C10" s="690">
        <v>372752.82759803126</v>
      </c>
      <c r="D10" s="691">
        <v>290366.37836204091</v>
      </c>
      <c r="E10" s="690">
        <v>290366.37836204091</v>
      </c>
      <c r="F10" s="691">
        <v>438689.74878372578</v>
      </c>
      <c r="G10" s="690">
        <v>290366.37836204091</v>
      </c>
      <c r="H10" s="690">
        <v>290366.37836204091</v>
      </c>
      <c r="I10" s="690">
        <v>368853.85857210611</v>
      </c>
      <c r="J10" s="691">
        <v>290366.37836204097</v>
      </c>
      <c r="K10" s="690">
        <v>290366.37836204097</v>
      </c>
      <c r="L10" s="691">
        <v>384586.6431498095</v>
      </c>
      <c r="M10" s="690">
        <v>290366.37836204102</v>
      </c>
      <c r="N10" s="690">
        <v>290366.37836204102</v>
      </c>
      <c r="O10" s="693">
        <f t="shared" si="0"/>
        <v>3887814.105</v>
      </c>
    </row>
    <row r="11" spans="1:15" x14ac:dyDescent="0.2">
      <c r="A11" s="663" t="s">
        <v>151</v>
      </c>
      <c r="B11" s="675">
        <v>6.6299999999999998E-2</v>
      </c>
      <c r="C11" s="690">
        <v>280198.55407879222</v>
      </c>
      <c r="D11" s="691">
        <v>218268.60414289468</v>
      </c>
      <c r="E11" s="690">
        <v>218268.60414289468</v>
      </c>
      <c r="F11" s="691">
        <v>329763.38258912717</v>
      </c>
      <c r="G11" s="690">
        <v>218268.60414289468</v>
      </c>
      <c r="H11" s="690">
        <v>218268.60414289468</v>
      </c>
      <c r="I11" s="690">
        <v>277267.69640964438</v>
      </c>
      <c r="J11" s="691">
        <v>218268.60414289474</v>
      </c>
      <c r="K11" s="690">
        <v>218268.60414289474</v>
      </c>
      <c r="L11" s="691">
        <v>289094.04127927852</v>
      </c>
      <c r="M11" s="690">
        <v>218268.60414289479</v>
      </c>
      <c r="N11" s="690">
        <v>218268.60414289479</v>
      </c>
      <c r="O11" s="693">
        <f t="shared" si="0"/>
        <v>2922472.5075000003</v>
      </c>
    </row>
    <row r="12" spans="1:15" x14ac:dyDescent="0.2">
      <c r="A12" s="663" t="s">
        <v>286</v>
      </c>
      <c r="B12" s="675">
        <v>3.2199999999999999E-2</v>
      </c>
      <c r="C12" s="690">
        <v>136084.36563102729</v>
      </c>
      <c r="D12" s="691">
        <v>106006.77305280858</v>
      </c>
      <c r="E12" s="690">
        <v>106006.77305280858</v>
      </c>
      <c r="F12" s="691">
        <v>160156.57495278877</v>
      </c>
      <c r="G12" s="690">
        <v>106006.77305280858</v>
      </c>
      <c r="H12" s="690">
        <v>106006.77305280858</v>
      </c>
      <c r="I12" s="690">
        <v>134660.93249457842</v>
      </c>
      <c r="J12" s="691">
        <v>106006.7730528086</v>
      </c>
      <c r="K12" s="690">
        <v>106006.7730528086</v>
      </c>
      <c r="L12" s="691">
        <v>140404.6474991368</v>
      </c>
      <c r="M12" s="690">
        <v>106006.77305280862</v>
      </c>
      <c r="N12" s="690">
        <v>106006.77305280862</v>
      </c>
      <c r="O12" s="693">
        <f t="shared" si="0"/>
        <v>1419360.7050000001</v>
      </c>
    </row>
    <row r="13" spans="1:15" x14ac:dyDescent="0.2">
      <c r="A13" s="663" t="s">
        <v>153</v>
      </c>
      <c r="B13" s="675">
        <v>1.11E-2</v>
      </c>
      <c r="C13" s="690">
        <v>46911.070139888296</v>
      </c>
      <c r="D13" s="691">
        <v>36542.707480937126</v>
      </c>
      <c r="E13" s="690">
        <v>36542.707480937126</v>
      </c>
      <c r="F13" s="691">
        <v>55209.254098632155</v>
      </c>
      <c r="G13" s="690">
        <v>36542.707480937126</v>
      </c>
      <c r="H13" s="690">
        <v>36542.707480937126</v>
      </c>
      <c r="I13" s="690">
        <v>46420.383561795665</v>
      </c>
      <c r="J13" s="691">
        <v>36542.707480937126</v>
      </c>
      <c r="K13" s="690">
        <v>36542.707480937126</v>
      </c>
      <c r="L13" s="691">
        <v>48400.359852186913</v>
      </c>
      <c r="M13" s="690">
        <v>36542.707480937141</v>
      </c>
      <c r="N13" s="690">
        <v>36542.707480937141</v>
      </c>
      <c r="O13" s="693">
        <f t="shared" si="0"/>
        <v>489282.7275000001</v>
      </c>
    </row>
    <row r="14" spans="1:15" x14ac:dyDescent="0.2">
      <c r="A14" s="663" t="s">
        <v>154</v>
      </c>
      <c r="B14" s="675">
        <v>2.7099999999999999E-2</v>
      </c>
      <c r="C14" s="690">
        <v>114530.63070188943</v>
      </c>
      <c r="D14" s="691">
        <v>89216.880426432064</v>
      </c>
      <c r="E14" s="690">
        <v>89216.880426432064</v>
      </c>
      <c r="F14" s="691">
        <v>134790.16090747129</v>
      </c>
      <c r="G14" s="690">
        <v>89216.880426432064</v>
      </c>
      <c r="H14" s="690">
        <v>89216.880426432064</v>
      </c>
      <c r="I14" s="690">
        <v>113332.64815537501</v>
      </c>
      <c r="J14" s="691">
        <v>89216.880426432079</v>
      </c>
      <c r="K14" s="690">
        <v>89216.880426432079</v>
      </c>
      <c r="L14" s="691">
        <v>118166.64432380768</v>
      </c>
      <c r="M14" s="690">
        <v>89216.880426432108</v>
      </c>
      <c r="N14" s="690">
        <v>89216.880426432108</v>
      </c>
      <c r="O14" s="693">
        <f t="shared" si="0"/>
        <v>1194555.1274999999</v>
      </c>
    </row>
    <row r="15" spans="1:15" x14ac:dyDescent="0.2">
      <c r="A15" s="663" t="s">
        <v>155</v>
      </c>
      <c r="B15" s="675">
        <v>1.6899999999999998E-2</v>
      </c>
      <c r="C15" s="690">
        <v>71423.160843613703</v>
      </c>
      <c r="D15" s="691">
        <v>55637.095173679038</v>
      </c>
      <c r="E15" s="690">
        <v>55637.095173679038</v>
      </c>
      <c r="F15" s="691">
        <v>84057.332816836337</v>
      </c>
      <c r="G15" s="690">
        <v>55637.095173679038</v>
      </c>
      <c r="H15" s="690">
        <v>55637.095173679038</v>
      </c>
      <c r="I15" s="690">
        <v>70676.079476968167</v>
      </c>
      <c r="J15" s="691">
        <v>55637.095173679045</v>
      </c>
      <c r="K15" s="690">
        <v>55637.095173679045</v>
      </c>
      <c r="L15" s="691">
        <v>73690.637973149423</v>
      </c>
      <c r="M15" s="690">
        <v>55637.095173679059</v>
      </c>
      <c r="N15" s="690">
        <v>55637.095173679059</v>
      </c>
      <c r="O15" s="693">
        <f t="shared" si="0"/>
        <v>744943.97250000003</v>
      </c>
    </row>
    <row r="16" spans="1:15" x14ac:dyDescent="0.2">
      <c r="A16" s="663" t="s">
        <v>156</v>
      </c>
      <c r="B16" s="675">
        <v>1.2699999999999999E-2</v>
      </c>
      <c r="C16" s="690">
        <v>53673.026196088402</v>
      </c>
      <c r="D16" s="691">
        <v>41810.124775486613</v>
      </c>
      <c r="E16" s="690">
        <v>41810.124775486613</v>
      </c>
      <c r="F16" s="691">
        <v>63167.344779516068</v>
      </c>
      <c r="G16" s="690">
        <v>41810.124775486613</v>
      </c>
      <c r="H16" s="690">
        <v>41810.124775486613</v>
      </c>
      <c r="I16" s="690">
        <v>53111.610021153596</v>
      </c>
      <c r="J16" s="691">
        <v>41810.12477548662</v>
      </c>
      <c r="K16" s="690">
        <v>41810.12477548662</v>
      </c>
      <c r="L16" s="691">
        <v>55376.988299348981</v>
      </c>
      <c r="M16" s="690">
        <v>41810.124775486634</v>
      </c>
      <c r="N16" s="690">
        <v>41810.124775486634</v>
      </c>
      <c r="O16" s="693">
        <f t="shared" si="0"/>
        <v>559809.96750000003</v>
      </c>
    </row>
    <row r="17" spans="1:15" x14ac:dyDescent="0.2">
      <c r="A17" s="663" t="s">
        <v>157</v>
      </c>
      <c r="B17" s="675">
        <v>3.39E-2</v>
      </c>
      <c r="C17" s="690">
        <v>143268.9439407399</v>
      </c>
      <c r="D17" s="691">
        <v>111603.40392826742</v>
      </c>
      <c r="E17" s="690">
        <v>111603.40392826742</v>
      </c>
      <c r="F17" s="691">
        <v>168612.04630122794</v>
      </c>
      <c r="G17" s="690">
        <v>111603.40392826742</v>
      </c>
      <c r="H17" s="690">
        <v>111603.40392826742</v>
      </c>
      <c r="I17" s="690">
        <v>141770.36060764623</v>
      </c>
      <c r="J17" s="691">
        <v>111603.40392826743</v>
      </c>
      <c r="K17" s="690">
        <v>111603.40392826743</v>
      </c>
      <c r="L17" s="691">
        <v>147817.3152242465</v>
      </c>
      <c r="M17" s="690">
        <v>111603.40392826746</v>
      </c>
      <c r="N17" s="690">
        <v>111603.40392826746</v>
      </c>
      <c r="O17" s="693">
        <f t="shared" si="0"/>
        <v>1494295.8975000002</v>
      </c>
    </row>
    <row r="18" spans="1:15" x14ac:dyDescent="0.2">
      <c r="A18" s="663" t="s">
        <v>158</v>
      </c>
      <c r="B18" s="675">
        <v>2.2100000000000002E-2</v>
      </c>
      <c r="C18" s="690">
        <v>93399.518026264079</v>
      </c>
      <c r="D18" s="691">
        <v>72756.201380964907</v>
      </c>
      <c r="E18" s="690">
        <v>72756.201380964907</v>
      </c>
      <c r="F18" s="691">
        <v>109921.12752970908</v>
      </c>
      <c r="G18" s="690">
        <v>72756.201380964907</v>
      </c>
      <c r="H18" s="690">
        <v>72756.201380964907</v>
      </c>
      <c r="I18" s="690">
        <v>92422.565469881461</v>
      </c>
      <c r="J18" s="691">
        <v>72756.201380964922</v>
      </c>
      <c r="K18" s="690">
        <v>72756.201380964922</v>
      </c>
      <c r="L18" s="691">
        <v>96364.680426426188</v>
      </c>
      <c r="M18" s="690">
        <v>72756.201380964936</v>
      </c>
      <c r="N18" s="690">
        <v>72756.201380964936</v>
      </c>
      <c r="O18" s="693">
        <f t="shared" si="0"/>
        <v>974157.50250000018</v>
      </c>
    </row>
    <row r="19" spans="1:15" x14ac:dyDescent="0.2">
      <c r="A19" s="663" t="s">
        <v>159</v>
      </c>
      <c r="B19" s="675">
        <v>3.95E-2</v>
      </c>
      <c r="C19" s="690">
        <v>166935.79013744032</v>
      </c>
      <c r="D19" s="691">
        <v>130039.36445919066</v>
      </c>
      <c r="E19" s="690">
        <v>130039.36445919066</v>
      </c>
      <c r="F19" s="691">
        <v>196465.36368432164</v>
      </c>
      <c r="G19" s="690">
        <v>130039.36445919066</v>
      </c>
      <c r="H19" s="690">
        <v>130039.36445919066</v>
      </c>
      <c r="I19" s="690">
        <v>165189.65321539898</v>
      </c>
      <c r="J19" s="691">
        <v>130039.36445919068</v>
      </c>
      <c r="K19" s="690">
        <v>130039.36445919068</v>
      </c>
      <c r="L19" s="691">
        <v>172235.51478931378</v>
      </c>
      <c r="M19" s="690">
        <v>130039.36445919071</v>
      </c>
      <c r="N19" s="690">
        <v>130039.36445919071</v>
      </c>
      <c r="O19" s="693">
        <f t="shared" si="0"/>
        <v>1741141.2375000003</v>
      </c>
    </row>
    <row r="20" spans="1:15" x14ac:dyDescent="0.2">
      <c r="A20" s="663" t="s">
        <v>287</v>
      </c>
      <c r="B20" s="675">
        <v>7.4999999999999997E-3</v>
      </c>
      <c r="C20" s="690">
        <v>31696.669013438033</v>
      </c>
      <c r="D20" s="691">
        <v>24691.018568200758</v>
      </c>
      <c r="E20" s="690">
        <v>24691.018568200758</v>
      </c>
      <c r="F20" s="691">
        <v>37303.550066643344</v>
      </c>
      <c r="G20" s="690">
        <v>24691.018568200758</v>
      </c>
      <c r="H20" s="690">
        <v>24691.018568200758</v>
      </c>
      <c r="I20" s="690">
        <v>31365.124028240312</v>
      </c>
      <c r="J20" s="691">
        <v>24691.018568200761</v>
      </c>
      <c r="K20" s="690">
        <v>24691.018568200761</v>
      </c>
      <c r="L20" s="691">
        <v>32702.945846072234</v>
      </c>
      <c r="M20" s="690">
        <v>24691.018568200769</v>
      </c>
      <c r="N20" s="690">
        <v>24691.018568200769</v>
      </c>
      <c r="O20" s="693">
        <f t="shared" si="0"/>
        <v>330596.4375</v>
      </c>
    </row>
    <row r="21" spans="1:15" x14ac:dyDescent="0.2">
      <c r="A21" s="663" t="s">
        <v>288</v>
      </c>
      <c r="B21" s="675">
        <v>2.2800000000000001E-2</v>
      </c>
      <c r="C21" s="690">
        <v>96357.873800851623</v>
      </c>
      <c r="D21" s="691">
        <v>75060.696447330309</v>
      </c>
      <c r="E21" s="690">
        <v>75060.696447330309</v>
      </c>
      <c r="F21" s="691">
        <v>113402.79220259578</v>
      </c>
      <c r="G21" s="690">
        <v>75060.696447330309</v>
      </c>
      <c r="H21" s="690">
        <v>75060.696447330309</v>
      </c>
      <c r="I21" s="690">
        <v>95349.977045850552</v>
      </c>
      <c r="J21" s="691">
        <v>75060.696447330323</v>
      </c>
      <c r="K21" s="690">
        <v>75060.696447330323</v>
      </c>
      <c r="L21" s="691">
        <v>99416.955372059601</v>
      </c>
      <c r="M21" s="690">
        <v>75060.696447330338</v>
      </c>
      <c r="N21" s="690">
        <v>75060.696447330338</v>
      </c>
      <c r="O21" s="693">
        <f t="shared" si="0"/>
        <v>1005013.1699999999</v>
      </c>
    </row>
    <row r="22" spans="1:15" x14ac:dyDescent="0.2">
      <c r="A22" s="663" t="s">
        <v>289</v>
      </c>
      <c r="B22" s="675">
        <v>8.8800000000000004E-2</v>
      </c>
      <c r="C22" s="690">
        <v>375288.56111910637</v>
      </c>
      <c r="D22" s="691">
        <v>292341.65984749701</v>
      </c>
      <c r="E22" s="690">
        <v>292341.65984749701</v>
      </c>
      <c r="F22" s="691">
        <v>441674.03278905724</v>
      </c>
      <c r="G22" s="690">
        <v>292341.65984749701</v>
      </c>
      <c r="H22" s="690">
        <v>292341.65984749701</v>
      </c>
      <c r="I22" s="690">
        <v>371363.06849436532</v>
      </c>
      <c r="J22" s="691">
        <v>292341.65984749701</v>
      </c>
      <c r="K22" s="690">
        <v>292341.65984749701</v>
      </c>
      <c r="L22" s="691">
        <v>387202.87881749531</v>
      </c>
      <c r="M22" s="690">
        <v>292341.65984749713</v>
      </c>
      <c r="N22" s="690">
        <v>292341.65984749713</v>
      </c>
      <c r="O22" s="693">
        <f t="shared" si="0"/>
        <v>3914261.8200000008</v>
      </c>
    </row>
    <row r="23" spans="1:15" x14ac:dyDescent="0.2">
      <c r="A23" s="663" t="s">
        <v>163</v>
      </c>
      <c r="B23" s="675">
        <v>3.9199999999999999E-2</v>
      </c>
      <c r="C23" s="690">
        <v>165667.92337690279</v>
      </c>
      <c r="D23" s="691">
        <v>129051.72371646263</v>
      </c>
      <c r="E23" s="690">
        <v>129051.72371646263</v>
      </c>
      <c r="F23" s="691">
        <v>194973.22168165588</v>
      </c>
      <c r="G23" s="690">
        <v>129051.72371646263</v>
      </c>
      <c r="H23" s="690">
        <v>129051.72371646263</v>
      </c>
      <c r="I23" s="690">
        <v>163935.04825426938</v>
      </c>
      <c r="J23" s="691">
        <v>129051.72371646264</v>
      </c>
      <c r="K23" s="690">
        <v>129051.72371646264</v>
      </c>
      <c r="L23" s="691">
        <v>170927.39695547087</v>
      </c>
      <c r="M23" s="690">
        <v>129051.72371646267</v>
      </c>
      <c r="N23" s="690">
        <v>129051.72371646267</v>
      </c>
      <c r="O23" s="693">
        <f t="shared" si="0"/>
        <v>1727917.3800000001</v>
      </c>
    </row>
    <row r="24" spans="1:15" x14ac:dyDescent="0.2">
      <c r="A24" s="663" t="s">
        <v>164</v>
      </c>
      <c r="B24" s="675">
        <v>0.35420000000000001</v>
      </c>
      <c r="C24" s="690">
        <v>1496928.0219413002</v>
      </c>
      <c r="D24" s="691">
        <v>1166074.5035808946</v>
      </c>
      <c r="E24" s="690">
        <v>1166074.5035808946</v>
      </c>
      <c r="F24" s="691">
        <v>1761722.3244806766</v>
      </c>
      <c r="G24" s="690">
        <v>1166074.5035808946</v>
      </c>
      <c r="H24" s="690">
        <v>1166074.5035808946</v>
      </c>
      <c r="I24" s="690">
        <v>1481270.2574403626</v>
      </c>
      <c r="J24" s="691">
        <v>1166074.5035808946</v>
      </c>
      <c r="K24" s="690">
        <v>1166074.5035808946</v>
      </c>
      <c r="L24" s="691">
        <v>1544451.1224905048</v>
      </c>
      <c r="M24" s="690">
        <v>1166074.503580895</v>
      </c>
      <c r="N24" s="690">
        <v>1166074.503580895</v>
      </c>
      <c r="O24" s="693">
        <f t="shared" si="0"/>
        <v>15612967.754999999</v>
      </c>
    </row>
    <row r="25" spans="1:15" x14ac:dyDescent="0.2">
      <c r="A25" s="663" t="s">
        <v>165</v>
      </c>
      <c r="B25" s="675">
        <v>0.03</v>
      </c>
      <c r="C25" s="690">
        <v>126786.67605375213</v>
      </c>
      <c r="D25" s="691">
        <v>98764.074272803031</v>
      </c>
      <c r="E25" s="690">
        <v>98764.074272803031</v>
      </c>
      <c r="F25" s="691">
        <v>149214.20026657337</v>
      </c>
      <c r="G25" s="690">
        <v>98764.074272803031</v>
      </c>
      <c r="H25" s="690">
        <v>98764.074272803031</v>
      </c>
      <c r="I25" s="690">
        <v>125460.49611296125</v>
      </c>
      <c r="J25" s="691">
        <v>98764.074272803045</v>
      </c>
      <c r="K25" s="690">
        <v>98764.074272803045</v>
      </c>
      <c r="L25" s="691">
        <v>130811.78338428894</v>
      </c>
      <c r="M25" s="690">
        <v>98764.074272803075</v>
      </c>
      <c r="N25" s="690">
        <v>98764.074272803075</v>
      </c>
      <c r="O25" s="693">
        <f t="shared" si="0"/>
        <v>1322385.75</v>
      </c>
    </row>
    <row r="26" spans="1:15" ht="13.5" thickBot="1" x14ac:dyDescent="0.25">
      <c r="A26" s="663" t="s">
        <v>166</v>
      </c>
      <c r="B26" s="676">
        <v>4.5199999999999997E-2</v>
      </c>
      <c r="C26" s="690">
        <v>191025.2585876532</v>
      </c>
      <c r="D26" s="691">
        <v>148804.53857102324</v>
      </c>
      <c r="E26" s="690">
        <v>148804.53857102324</v>
      </c>
      <c r="F26" s="691">
        <v>224816.06173497057</v>
      </c>
      <c r="G26" s="690">
        <v>148804.53857102324</v>
      </c>
      <c r="H26" s="690">
        <v>148804.53857102324</v>
      </c>
      <c r="I26" s="696">
        <v>189027.1474768616</v>
      </c>
      <c r="J26" s="691">
        <v>148804.53857102324</v>
      </c>
      <c r="K26" s="690">
        <v>148804.53857102324</v>
      </c>
      <c r="L26" s="691">
        <v>197089.75363232865</v>
      </c>
      <c r="M26" s="690">
        <v>148804.53857102329</v>
      </c>
      <c r="N26" s="690">
        <v>148804.53857102329</v>
      </c>
      <c r="O26" s="693">
        <f t="shared" si="0"/>
        <v>1992394.53</v>
      </c>
    </row>
    <row r="27" spans="1:15" ht="13.5" thickBot="1" x14ac:dyDescent="0.25">
      <c r="A27" s="668" t="s">
        <v>290</v>
      </c>
      <c r="B27" s="669">
        <f t="shared" ref="B27:N27" si="1">SUM(B7:B26)</f>
        <v>1</v>
      </c>
      <c r="C27" s="698">
        <f t="shared" si="1"/>
        <v>4226222.5351250712</v>
      </c>
      <c r="D27" s="698">
        <f t="shared" si="1"/>
        <v>3292135.8090934348</v>
      </c>
      <c r="E27" s="698">
        <f t="shared" si="1"/>
        <v>3292135.8090934348</v>
      </c>
      <c r="F27" s="698">
        <f t="shared" si="1"/>
        <v>4973806.6755524464</v>
      </c>
      <c r="G27" s="698">
        <f t="shared" si="1"/>
        <v>3292135.8090934348</v>
      </c>
      <c r="H27" s="698">
        <f t="shared" si="1"/>
        <v>3292135.8090934348</v>
      </c>
      <c r="I27" s="698">
        <f t="shared" si="1"/>
        <v>4182016.5370987086</v>
      </c>
      <c r="J27" s="698">
        <f t="shared" si="1"/>
        <v>3292135.8090934353</v>
      </c>
      <c r="K27" s="698">
        <f t="shared" si="1"/>
        <v>3292135.8090934353</v>
      </c>
      <c r="L27" s="698">
        <f t="shared" si="1"/>
        <v>4360392.779476299</v>
      </c>
      <c r="M27" s="698">
        <f t="shared" si="1"/>
        <v>3292135.8090934358</v>
      </c>
      <c r="N27" s="698">
        <f t="shared" si="1"/>
        <v>3292135.8090934358</v>
      </c>
      <c r="O27" s="698">
        <f t="shared" si="0"/>
        <v>44079525.000000007</v>
      </c>
    </row>
    <row r="28" spans="1:15" x14ac:dyDescent="0.2">
      <c r="A28" s="671"/>
      <c r="B28" s="671"/>
      <c r="C28" s="671"/>
      <c r="D28" s="671"/>
      <c r="E28" s="671"/>
      <c r="F28" s="671"/>
      <c r="G28" s="671"/>
      <c r="H28" s="671"/>
      <c r="I28" s="671"/>
      <c r="J28" s="671"/>
      <c r="K28" s="671"/>
      <c r="L28" s="671"/>
      <c r="M28" s="671"/>
      <c r="N28" s="671"/>
      <c r="O28" s="671"/>
    </row>
    <row r="29" spans="1:15" x14ac:dyDescent="0.2">
      <c r="A29" s="672" t="s">
        <v>291</v>
      </c>
    </row>
    <row r="31" spans="1:15" x14ac:dyDescent="0.2">
      <c r="A31" s="815" t="s">
        <v>362</v>
      </c>
      <c r="B31" s="815"/>
      <c r="C31" s="699">
        <f>'X22.55 POE'!B61</f>
        <v>7896526.8969370686</v>
      </c>
      <c r="D31" s="699">
        <f>'X22.55 POE'!C61</f>
        <v>3797045.9264069414</v>
      </c>
      <c r="E31" s="699">
        <f>'X22.55 POE'!D61</f>
        <v>3797045.9264069414</v>
      </c>
      <c r="F31" s="699">
        <f>'X22.55 POE'!E61</f>
        <v>13922364.526676772</v>
      </c>
      <c r="G31" s="699">
        <f>'X22.55 POE'!F61</f>
        <v>3797045.9264069414</v>
      </c>
      <c r="H31" s="699">
        <f>'X22.55 POE'!G61</f>
        <v>3797045.9264069414</v>
      </c>
      <c r="I31" s="699">
        <f>'X22.55 POE'!H61</f>
        <v>13300726.705030318</v>
      </c>
      <c r="J31" s="699">
        <f>'X22.55 POE'!I61</f>
        <v>3797045.9264069414</v>
      </c>
      <c r="K31" s="699">
        <f>'X22.55 POE'!J61</f>
        <v>3797045.9264069414</v>
      </c>
      <c r="L31" s="699">
        <f>'X22.55 POE'!K61</f>
        <v>9903205.5601003077</v>
      </c>
      <c r="M31" s="699">
        <f>'X22.55 POE'!L61</f>
        <v>3797045.9264069414</v>
      </c>
      <c r="N31" s="699">
        <f>'X22.55 POE'!M61</f>
        <v>3797045.9264069414</v>
      </c>
      <c r="O31" s="699">
        <f>SUM(C31:N31)</f>
        <v>75399191.099999979</v>
      </c>
    </row>
    <row r="32" spans="1:15" x14ac:dyDescent="0.2">
      <c r="A32" s="816" t="s">
        <v>371</v>
      </c>
      <c r="B32" s="817"/>
      <c r="C32" s="699">
        <f>'X22.55 POE'!B62</f>
        <v>4226222.54</v>
      </c>
      <c r="D32" s="699">
        <f>'X22.55 POE'!C62</f>
        <v>3292135.81</v>
      </c>
      <c r="E32" s="699">
        <f>'X22.55 POE'!D62</f>
        <v>3292135.81</v>
      </c>
      <c r="F32" s="699">
        <f>'X22.55 POE'!E62</f>
        <v>4973806.68</v>
      </c>
      <c r="G32" s="699">
        <f>'X22.55 POE'!F62</f>
        <v>3292135.81</v>
      </c>
      <c r="H32" s="699">
        <f>'X22.55 POE'!G62</f>
        <v>3292135.81</v>
      </c>
      <c r="I32" s="699">
        <f>'X22.55 POE'!H62</f>
        <v>4182016.54</v>
      </c>
      <c r="J32" s="699">
        <f>'X22.55 POE'!I62</f>
        <v>3292135.81</v>
      </c>
      <c r="K32" s="699">
        <f>'X22.55 POE'!J62</f>
        <v>3292135.81</v>
      </c>
      <c r="L32" s="699">
        <f>'X22.55 POE'!K62</f>
        <v>4360392.78</v>
      </c>
      <c r="M32" s="699">
        <f>'X22.55 POE'!L62</f>
        <v>3292135.81</v>
      </c>
      <c r="N32" s="699">
        <f>'X22.55 POE'!M62</f>
        <v>3292135.81</v>
      </c>
      <c r="O32" s="699">
        <f>SUM(C32:N32)</f>
        <v>44079525.019999996</v>
      </c>
    </row>
    <row r="33" spans="1:15" x14ac:dyDescent="0.2">
      <c r="A33" s="1022" t="s">
        <v>356</v>
      </c>
      <c r="B33" s="1023"/>
      <c r="C33" s="699">
        <f>C31-C32</f>
        <v>3670304.3569370685</v>
      </c>
      <c r="D33" s="699">
        <f t="shared" ref="D33:N33" si="2">D31-D32</f>
        <v>504910.11640694132</v>
      </c>
      <c r="E33" s="699">
        <f t="shared" si="2"/>
        <v>504910.11640694132</v>
      </c>
      <c r="F33" s="699">
        <f t="shared" si="2"/>
        <v>8948557.8466767725</v>
      </c>
      <c r="G33" s="699">
        <f t="shared" si="2"/>
        <v>504910.11640694132</v>
      </c>
      <c r="H33" s="699">
        <f t="shared" si="2"/>
        <v>504910.11640694132</v>
      </c>
      <c r="I33" s="699">
        <f t="shared" si="2"/>
        <v>9118710.1650303192</v>
      </c>
      <c r="J33" s="699">
        <f t="shared" si="2"/>
        <v>504910.11640694132</v>
      </c>
      <c r="K33" s="699">
        <f t="shared" si="2"/>
        <v>504910.11640694132</v>
      </c>
      <c r="L33" s="699">
        <f t="shared" si="2"/>
        <v>5542812.7801003074</v>
      </c>
      <c r="M33" s="699">
        <f t="shared" si="2"/>
        <v>504910.11640694132</v>
      </c>
      <c r="N33" s="699">
        <f t="shared" si="2"/>
        <v>504910.11640694132</v>
      </c>
      <c r="O33" s="699">
        <f t="shared" ref="O33" si="3">O31-O32</f>
        <v>31319666.079999983</v>
      </c>
    </row>
    <row r="34" spans="1:15" x14ac:dyDescent="0.2">
      <c r="A34" s="671"/>
      <c r="B34" s="671"/>
    </row>
  </sheetData>
  <mergeCells count="5">
    <mergeCell ref="A1:O1"/>
    <mergeCell ref="A2:O2"/>
    <mergeCell ref="A3:O3"/>
    <mergeCell ref="A4:O4"/>
    <mergeCell ref="A33:B33"/>
  </mergeCells>
  <printOptions horizontalCentered="1"/>
  <pageMargins left="0.78740157480314965" right="0.78740157480314965" top="0.98425196850393704" bottom="0.98425196850393704" header="0" footer="0"/>
  <pageSetup paperSize="5" scale="90"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tabColor theme="4" tint="0.39997558519241921"/>
  </sheetPr>
  <dimension ref="A1:Q32"/>
  <sheetViews>
    <sheetView workbookViewId="0">
      <selection sqref="A1:O1"/>
    </sheetView>
  </sheetViews>
  <sheetFormatPr baseColWidth="10" defaultRowHeight="12.75" x14ac:dyDescent="0.2"/>
  <cols>
    <col min="1" max="1" width="16.85546875" style="658" customWidth="1"/>
    <col min="2" max="2" width="9.28515625" style="658" bestFit="1" customWidth="1"/>
    <col min="3" max="14" width="11.7109375" style="658" bestFit="1" customWidth="1"/>
    <col min="15" max="15" width="13" style="658" bestFit="1" customWidth="1"/>
    <col min="16" max="16384" width="11.42578125" style="658"/>
  </cols>
  <sheetData>
    <row r="1" spans="1:15" ht="15.75" x14ac:dyDescent="0.25">
      <c r="A1" s="1019" t="s">
        <v>279</v>
      </c>
      <c r="B1" s="1019"/>
      <c r="C1" s="1019"/>
      <c r="D1" s="1019"/>
      <c r="E1" s="1019"/>
      <c r="F1" s="1019"/>
      <c r="G1" s="1019"/>
      <c r="H1" s="1019"/>
      <c r="I1" s="1019"/>
      <c r="J1" s="1019"/>
      <c r="K1" s="1019"/>
      <c r="L1" s="1019"/>
      <c r="M1" s="1019"/>
      <c r="N1" s="1019"/>
      <c r="O1" s="1019"/>
    </row>
    <row r="2" spans="1:15" x14ac:dyDescent="0.2">
      <c r="A2" s="1020" t="s">
        <v>280</v>
      </c>
      <c r="B2" s="1020"/>
      <c r="C2" s="1020"/>
      <c r="D2" s="1020"/>
      <c r="E2" s="1020"/>
      <c r="F2" s="1020"/>
      <c r="G2" s="1020"/>
      <c r="H2" s="1020"/>
      <c r="I2" s="1020"/>
      <c r="J2" s="1020"/>
      <c r="K2" s="1020"/>
      <c r="L2" s="1020"/>
      <c r="M2" s="1020"/>
      <c r="N2" s="1020"/>
      <c r="O2" s="1020"/>
    </row>
    <row r="3" spans="1:15" x14ac:dyDescent="0.2">
      <c r="A3" s="1020" t="s">
        <v>281</v>
      </c>
      <c r="B3" s="1020"/>
      <c r="C3" s="1020"/>
      <c r="D3" s="1020"/>
      <c r="E3" s="1020"/>
      <c r="F3" s="1020"/>
      <c r="G3" s="1020"/>
      <c r="H3" s="1020"/>
      <c r="I3" s="1020"/>
      <c r="J3" s="1020"/>
      <c r="K3" s="1020"/>
      <c r="L3" s="1020"/>
      <c r="M3" s="1020"/>
      <c r="N3" s="1020"/>
      <c r="O3" s="1020"/>
    </row>
    <row r="4" spans="1:15" x14ac:dyDescent="0.2">
      <c r="A4" s="1021" t="s">
        <v>363</v>
      </c>
      <c r="B4" s="1021"/>
      <c r="C4" s="1021"/>
      <c r="D4" s="1021"/>
      <c r="E4" s="1021"/>
      <c r="F4" s="1021"/>
      <c r="G4" s="1021"/>
      <c r="H4" s="1021"/>
      <c r="I4" s="1021"/>
      <c r="J4" s="1021"/>
      <c r="K4" s="1021"/>
      <c r="L4" s="1021"/>
      <c r="M4" s="1021"/>
      <c r="N4" s="1021"/>
      <c r="O4" s="1021"/>
    </row>
    <row r="5" spans="1:15" ht="13.5" thickBot="1" x14ac:dyDescent="0.25"/>
    <row r="6" spans="1:15" ht="34.5" thickBot="1" x14ac:dyDescent="0.25">
      <c r="A6" s="659" t="s">
        <v>14</v>
      </c>
      <c r="B6" s="660" t="s">
        <v>469</v>
      </c>
      <c r="C6" s="659" t="s">
        <v>1</v>
      </c>
      <c r="D6" s="661" t="s">
        <v>2</v>
      </c>
      <c r="E6" s="659" t="s">
        <v>3</v>
      </c>
      <c r="F6" s="661" t="s">
        <v>4</v>
      </c>
      <c r="G6" s="659" t="s">
        <v>5</v>
      </c>
      <c r="H6" s="659" t="s">
        <v>6</v>
      </c>
      <c r="I6" s="659" t="s">
        <v>7</v>
      </c>
      <c r="J6" s="661" t="s">
        <v>8</v>
      </c>
      <c r="K6" s="659" t="s">
        <v>9</v>
      </c>
      <c r="L6" s="661" t="s">
        <v>10</v>
      </c>
      <c r="M6" s="659" t="s">
        <v>11</v>
      </c>
      <c r="N6" s="659" t="s">
        <v>12</v>
      </c>
      <c r="O6" s="662" t="s">
        <v>169</v>
      </c>
    </row>
    <row r="7" spans="1:15" x14ac:dyDescent="0.2">
      <c r="A7" s="663" t="s">
        <v>284</v>
      </c>
      <c r="B7" s="689">
        <f>'IEPS GyD '!F9</f>
        <v>3.0136241193535018</v>
      </c>
      <c r="C7" s="690">
        <f>$C$32*B7/100</f>
        <v>28916.247424897872</v>
      </c>
      <c r="D7" s="690">
        <f>$D$32*B7/100</f>
        <v>36542.103353481827</v>
      </c>
      <c r="E7" s="690">
        <f>$E$32*B7/100</f>
        <v>16820.660185934736</v>
      </c>
      <c r="F7" s="690">
        <f>$F$32*B7/100</f>
        <v>33094.032941909798</v>
      </c>
      <c r="G7" s="690">
        <f>$G$32*B7/100</f>
        <v>24566.311298729637</v>
      </c>
      <c r="H7" s="690">
        <f>$H$32*B7/100</f>
        <v>33384.733465612699</v>
      </c>
      <c r="I7" s="690">
        <f>$I$32*B7/100</f>
        <v>21843.275720261176</v>
      </c>
      <c r="J7" s="690">
        <f>$J$32*B7/100</f>
        <v>27429.626402217913</v>
      </c>
      <c r="K7" s="690">
        <f>$K$32*B7/100</f>
        <v>30104.882302851362</v>
      </c>
      <c r="L7" s="690">
        <f>$L$32*B7/100</f>
        <v>13695.74533241845</v>
      </c>
      <c r="M7" s="690">
        <f>$M$32*B7/100</f>
        <v>23708.684629443844</v>
      </c>
      <c r="N7" s="690">
        <f>$N$32*B7/100</f>
        <v>45532.550514363124</v>
      </c>
      <c r="O7" s="693">
        <f>SUM(C7:N7)</f>
        <v>335638.85357212246</v>
      </c>
    </row>
    <row r="8" spans="1:15" x14ac:dyDescent="0.2">
      <c r="A8" s="663" t="s">
        <v>148</v>
      </c>
      <c r="B8" s="694">
        <f>'IEPS GyD '!F10</f>
        <v>1.2459367229589724</v>
      </c>
      <c r="C8" s="690">
        <f t="shared" ref="C8:C26" si="0">$C$32*B8/100</f>
        <v>11954.979496439972</v>
      </c>
      <c r="D8" s="690">
        <f t="shared" ref="D8:D26" si="1">$D$32*B8/100</f>
        <v>15107.772800820419</v>
      </c>
      <c r="E8" s="690">
        <f t="shared" ref="E8:E26" si="2">$E$32*B8/100</f>
        <v>6954.2442587584173</v>
      </c>
      <c r="F8" s="690">
        <f t="shared" ref="F8:F26" si="3">$F$32*B8/100</f>
        <v>13682.220914128106</v>
      </c>
      <c r="G8" s="690">
        <f t="shared" ref="G8:G26" si="4">$G$32*B8/100</f>
        <v>10156.565046770127</v>
      </c>
      <c r="H8" s="690">
        <f t="shared" ref="H8:H26" si="5">$H$32*B8/100</f>
        <v>13802.406592076071</v>
      </c>
      <c r="I8" s="690">
        <f t="shared" ref="I8:I26" si="6">$I$32*B8/100</f>
        <v>9030.7677041786737</v>
      </c>
      <c r="J8" s="690">
        <f t="shared" ref="J8:J26" si="7">$J$32*B8/100</f>
        <v>11340.358809876998</v>
      </c>
      <c r="K8" s="690">
        <f t="shared" ref="K8:K26" si="8">$K$32*B8/100</f>
        <v>12446.402376659622</v>
      </c>
      <c r="L8" s="690">
        <f t="shared" ref="L8:L26" si="9">$L$32*B8/100</f>
        <v>5662.2960867511074</v>
      </c>
      <c r="M8" s="690">
        <f t="shared" ref="M8:M26" si="10">$M$32*B8/100</f>
        <v>9801.9924393271685</v>
      </c>
      <c r="N8" s="690">
        <f t="shared" ref="N8:N26" si="11">$N$32*B8/100</f>
        <v>18824.735444445418</v>
      </c>
      <c r="O8" s="693">
        <f t="shared" ref="O8:O26" si="12">SUM(C8:N8)</f>
        <v>138764.74197023211</v>
      </c>
    </row>
    <row r="9" spans="1:15" x14ac:dyDescent="0.2">
      <c r="A9" s="663" t="s">
        <v>149</v>
      </c>
      <c r="B9" s="694">
        <f>'IEPS GyD '!F11</f>
        <v>0.93374430169912959</v>
      </c>
      <c r="C9" s="690">
        <f t="shared" si="0"/>
        <v>8959.4389313929369</v>
      </c>
      <c r="D9" s="690">
        <f t="shared" si="1"/>
        <v>11322.241735221485</v>
      </c>
      <c r="E9" s="690">
        <f t="shared" si="2"/>
        <v>5211.7301220708823</v>
      </c>
      <c r="F9" s="690">
        <f t="shared" si="3"/>
        <v>10253.88816120196</v>
      </c>
      <c r="G9" s="690">
        <f t="shared" si="4"/>
        <v>7611.6503852101705</v>
      </c>
      <c r="H9" s="690">
        <f t="shared" si="5"/>
        <v>10343.959101292116</v>
      </c>
      <c r="I9" s="690">
        <f t="shared" si="6"/>
        <v>6767.942326733265</v>
      </c>
      <c r="J9" s="690">
        <f t="shared" si="7"/>
        <v>8498.8227915767566</v>
      </c>
      <c r="K9" s="690">
        <f t="shared" si="8"/>
        <v>9327.7267470373135</v>
      </c>
      <c r="L9" s="690">
        <f t="shared" si="9"/>
        <v>4243.5033883428023</v>
      </c>
      <c r="M9" s="690">
        <f t="shared" si="10"/>
        <v>7345.9224829518735</v>
      </c>
      <c r="N9" s="690">
        <f t="shared" si="11"/>
        <v>14107.850846951356</v>
      </c>
      <c r="O9" s="693">
        <f t="shared" si="12"/>
        <v>103994.67701998293</v>
      </c>
    </row>
    <row r="10" spans="1:15" x14ac:dyDescent="0.2">
      <c r="A10" s="663" t="s">
        <v>285</v>
      </c>
      <c r="B10" s="694">
        <f>'IEPS GyD '!F12</f>
        <v>15.187266887691669</v>
      </c>
      <c r="C10" s="690">
        <f t="shared" si="0"/>
        <v>145724.46650269761</v>
      </c>
      <c r="D10" s="690">
        <f t="shared" si="1"/>
        <v>184155.2410942335</v>
      </c>
      <c r="E10" s="690">
        <f t="shared" si="2"/>
        <v>84768.320584639718</v>
      </c>
      <c r="F10" s="690">
        <f t="shared" si="3"/>
        <v>166778.56652762191</v>
      </c>
      <c r="G10" s="690">
        <f t="shared" si="4"/>
        <v>123802.80730563062</v>
      </c>
      <c r="H10" s="690">
        <f t="shared" si="5"/>
        <v>168243.56224806193</v>
      </c>
      <c r="I10" s="690">
        <f t="shared" si="6"/>
        <v>110079.97179695006</v>
      </c>
      <c r="J10" s="690">
        <f t="shared" si="7"/>
        <v>138232.58651431435</v>
      </c>
      <c r="K10" s="690">
        <f t="shared" si="8"/>
        <v>151714.63462206183</v>
      </c>
      <c r="L10" s="690">
        <f t="shared" si="9"/>
        <v>69020.20004867691</v>
      </c>
      <c r="M10" s="690">
        <f t="shared" si="10"/>
        <v>119480.76693145164</v>
      </c>
      <c r="N10" s="690">
        <f t="shared" si="11"/>
        <v>229462.92216671095</v>
      </c>
      <c r="O10" s="693">
        <f t="shared" si="12"/>
        <v>1691464.0463430511</v>
      </c>
    </row>
    <row r="11" spans="1:15" x14ac:dyDescent="0.2">
      <c r="A11" s="663" t="s">
        <v>151</v>
      </c>
      <c r="B11" s="694">
        <f>'IEPS GyD '!F13</f>
        <v>6.2678071902196431</v>
      </c>
      <c r="C11" s="690">
        <f t="shared" si="0"/>
        <v>60140.699817210778</v>
      </c>
      <c r="D11" s="690">
        <f t="shared" si="1"/>
        <v>76001.136529872645</v>
      </c>
      <c r="E11" s="690">
        <f t="shared" si="2"/>
        <v>34984.009512194942</v>
      </c>
      <c r="F11" s="690">
        <f t="shared" si="3"/>
        <v>68829.757598026612</v>
      </c>
      <c r="G11" s="690">
        <f t="shared" si="4"/>
        <v>51093.599100999898</v>
      </c>
      <c r="H11" s="690">
        <f t="shared" si="5"/>
        <v>69434.363468070063</v>
      </c>
      <c r="I11" s="690">
        <f t="shared" si="6"/>
        <v>45430.164876293093</v>
      </c>
      <c r="J11" s="690">
        <f t="shared" si="7"/>
        <v>57048.790021544533</v>
      </c>
      <c r="K11" s="690">
        <f t="shared" si="8"/>
        <v>62612.850934776478</v>
      </c>
      <c r="L11" s="690">
        <f t="shared" si="9"/>
        <v>28484.737203511897</v>
      </c>
      <c r="M11" s="690">
        <f t="shared" si="10"/>
        <v>49309.886736291723</v>
      </c>
      <c r="N11" s="690">
        <f t="shared" si="11"/>
        <v>94699.682574941515</v>
      </c>
      <c r="O11" s="693">
        <f t="shared" si="12"/>
        <v>698069.67837373412</v>
      </c>
    </row>
    <row r="12" spans="1:15" x14ac:dyDescent="0.2">
      <c r="A12" s="663" t="s">
        <v>286</v>
      </c>
      <c r="B12" s="694">
        <f>'IEPS GyD '!F14</f>
        <v>3.8487813406547868</v>
      </c>
      <c r="C12" s="690">
        <f t="shared" si="0"/>
        <v>36929.726177854907</v>
      </c>
      <c r="D12" s="690">
        <f t="shared" si="1"/>
        <v>46668.914225882596</v>
      </c>
      <c r="E12" s="690">
        <f t="shared" si="2"/>
        <v>21482.12268589377</v>
      </c>
      <c r="F12" s="690">
        <f t="shared" si="3"/>
        <v>42265.289707450873</v>
      </c>
      <c r="G12" s="690">
        <f t="shared" si="4"/>
        <v>31374.304422394562</v>
      </c>
      <c r="H12" s="690">
        <f t="shared" si="5"/>
        <v>42636.551254025682</v>
      </c>
      <c r="I12" s="690">
        <f t="shared" si="6"/>
        <v>27896.641612011688</v>
      </c>
      <c r="J12" s="690">
        <f t="shared" si="7"/>
        <v>35031.122030120918</v>
      </c>
      <c r="K12" s="690">
        <f t="shared" si="8"/>
        <v>38447.764114218473</v>
      </c>
      <c r="L12" s="690">
        <f t="shared" si="9"/>
        <v>17491.208921263897</v>
      </c>
      <c r="M12" s="690">
        <f t="shared" si="10"/>
        <v>30279.006073540364</v>
      </c>
      <c r="N12" s="690">
        <f t="shared" si="11"/>
        <v>58150.858856842686</v>
      </c>
      <c r="O12" s="693">
        <f t="shared" si="12"/>
        <v>428653.5100815004</v>
      </c>
    </row>
    <row r="13" spans="1:15" x14ac:dyDescent="0.2">
      <c r="A13" s="663" t="s">
        <v>153</v>
      </c>
      <c r="B13" s="694">
        <f>'IEPS GyD '!F15</f>
        <v>0.98991789266473262</v>
      </c>
      <c r="C13" s="690">
        <f t="shared" si="0"/>
        <v>9498.4343039992746</v>
      </c>
      <c r="D13" s="690">
        <f t="shared" si="1"/>
        <v>12003.382144743304</v>
      </c>
      <c r="E13" s="690">
        <f t="shared" si="2"/>
        <v>5525.2652039638433</v>
      </c>
      <c r="F13" s="690">
        <f t="shared" si="3"/>
        <v>10870.756953146669</v>
      </c>
      <c r="G13" s="690">
        <f t="shared" si="4"/>
        <v>8069.5634718377596</v>
      </c>
      <c r="H13" s="690">
        <f t="shared" si="5"/>
        <v>10966.246516019641</v>
      </c>
      <c r="I13" s="690">
        <f t="shared" si="6"/>
        <v>7175.0983578318173</v>
      </c>
      <c r="J13" s="690">
        <f t="shared" si="7"/>
        <v>9010.1077272003931</v>
      </c>
      <c r="K13" s="690">
        <f t="shared" si="8"/>
        <v>9888.8781307443096</v>
      </c>
      <c r="L13" s="690">
        <f t="shared" si="9"/>
        <v>4498.7904333766019</v>
      </c>
      <c r="M13" s="690">
        <f t="shared" si="10"/>
        <v>7787.8495116592767</v>
      </c>
      <c r="N13" s="690">
        <f t="shared" si="11"/>
        <v>14956.572109762061</v>
      </c>
      <c r="O13" s="693">
        <f t="shared" si="12"/>
        <v>110250.94486428496</v>
      </c>
    </row>
    <row r="14" spans="1:15" x14ac:dyDescent="0.2">
      <c r="A14" s="663" t="s">
        <v>154</v>
      </c>
      <c r="B14" s="694">
        <f>'IEPS GyD '!F16</f>
        <v>2.3715130283878989</v>
      </c>
      <c r="C14" s="690">
        <f t="shared" si="0"/>
        <v>22755.079858779623</v>
      </c>
      <c r="D14" s="690">
        <f t="shared" si="1"/>
        <v>28756.099219855609</v>
      </c>
      <c r="E14" s="690">
        <f t="shared" si="2"/>
        <v>13236.692167697191</v>
      </c>
      <c r="F14" s="690">
        <f t="shared" si="3"/>
        <v>26042.707111221938</v>
      </c>
      <c r="G14" s="690">
        <f t="shared" si="4"/>
        <v>19331.982024642235</v>
      </c>
      <c r="H14" s="690">
        <f t="shared" si="5"/>
        <v>26271.468247985238</v>
      </c>
      <c r="I14" s="690">
        <f t="shared" si="6"/>
        <v>17189.142010311891</v>
      </c>
      <c r="J14" s="690">
        <f t="shared" si="7"/>
        <v>21585.212289390383</v>
      </c>
      <c r="K14" s="690">
        <f t="shared" si="8"/>
        <v>23690.453013301514</v>
      </c>
      <c r="L14" s="690">
        <f t="shared" si="9"/>
        <v>10777.601055396653</v>
      </c>
      <c r="M14" s="690">
        <f t="shared" si="10"/>
        <v>18657.0893574902</v>
      </c>
      <c r="N14" s="690">
        <f t="shared" si="11"/>
        <v>35830.957174482312</v>
      </c>
      <c r="O14" s="693">
        <f t="shared" si="12"/>
        <v>264124.48353055475</v>
      </c>
    </row>
    <row r="15" spans="1:15" x14ac:dyDescent="0.2">
      <c r="A15" s="663" t="s">
        <v>155</v>
      </c>
      <c r="B15" s="694">
        <f>'IEPS GyD '!F17</f>
        <v>1.563876010153336</v>
      </c>
      <c r="C15" s="690">
        <f t="shared" si="0"/>
        <v>15005.662239376123</v>
      </c>
      <c r="D15" s="690">
        <f t="shared" si="1"/>
        <v>18962.988259900685</v>
      </c>
      <c r="E15" s="690">
        <f t="shared" si="2"/>
        <v>8728.8347510862968</v>
      </c>
      <c r="F15" s="690">
        <f t="shared" si="3"/>
        <v>17173.662722137924</v>
      </c>
      <c r="G15" s="690">
        <f t="shared" si="4"/>
        <v>12748.326724397168</v>
      </c>
      <c r="H15" s="690">
        <f t="shared" si="5"/>
        <v>17324.517492724081</v>
      </c>
      <c r="I15" s="690">
        <f t="shared" si="6"/>
        <v>11335.247372990068</v>
      </c>
      <c r="J15" s="690">
        <f t="shared" si="7"/>
        <v>14234.202076634409</v>
      </c>
      <c r="K15" s="690">
        <f t="shared" si="8"/>
        <v>15622.486865421979</v>
      </c>
      <c r="L15" s="690">
        <f t="shared" si="9"/>
        <v>7107.2060476916868</v>
      </c>
      <c r="M15" s="690">
        <f t="shared" si="10"/>
        <v>12303.273950512581</v>
      </c>
      <c r="N15" s="690">
        <f t="shared" si="11"/>
        <v>23628.448874301943</v>
      </c>
      <c r="O15" s="693">
        <f t="shared" si="12"/>
        <v>174174.85737717495</v>
      </c>
    </row>
    <row r="16" spans="1:15" x14ac:dyDescent="0.2">
      <c r="A16" s="663" t="s">
        <v>156</v>
      </c>
      <c r="B16" s="694">
        <f>'IEPS GyD '!F18</f>
        <v>1.1104401937422297</v>
      </c>
      <c r="C16" s="690">
        <f t="shared" si="0"/>
        <v>10654.866738885206</v>
      </c>
      <c r="D16" s="690">
        <f t="shared" si="1"/>
        <v>13464.791467189978</v>
      </c>
      <c r="E16" s="690">
        <f t="shared" si="2"/>
        <v>6197.9651130972998</v>
      </c>
      <c r="F16" s="690">
        <f t="shared" si="3"/>
        <v>12194.269390042453</v>
      </c>
      <c r="G16" s="690">
        <f t="shared" si="4"/>
        <v>9052.0311749911889</v>
      </c>
      <c r="H16" s="690">
        <f t="shared" si="5"/>
        <v>12301.384787675674</v>
      </c>
      <c r="I16" s="690">
        <f t="shared" si="6"/>
        <v>8048.6651161974414</v>
      </c>
      <c r="J16" s="690">
        <f t="shared" si="7"/>
        <v>10107.086501182521</v>
      </c>
      <c r="K16" s="690">
        <f t="shared" si="8"/>
        <v>11092.84702172373</v>
      </c>
      <c r="L16" s="690">
        <f t="shared" si="9"/>
        <v>5046.517249018284</v>
      </c>
      <c r="M16" s="690">
        <f t="shared" si="10"/>
        <v>8736.0185977476394</v>
      </c>
      <c r="N16" s="690">
        <f t="shared" si="11"/>
        <v>16777.531706772341</v>
      </c>
      <c r="O16" s="693">
        <f t="shared" si="12"/>
        <v>123673.97486452377</v>
      </c>
    </row>
    <row r="17" spans="1:17" x14ac:dyDescent="0.2">
      <c r="A17" s="663" t="s">
        <v>157</v>
      </c>
      <c r="B17" s="694">
        <f>'IEPS GyD '!F19</f>
        <v>2.7169725186489848</v>
      </c>
      <c r="C17" s="690">
        <f t="shared" si="0"/>
        <v>26069.823735269314</v>
      </c>
      <c r="D17" s="690">
        <f t="shared" si="1"/>
        <v>32945.014591381732</v>
      </c>
      <c r="E17" s="690">
        <f t="shared" si="2"/>
        <v>15164.887743373209</v>
      </c>
      <c r="F17" s="690">
        <f t="shared" si="3"/>
        <v>29836.361295688825</v>
      </c>
      <c r="G17" s="690">
        <f t="shared" si="4"/>
        <v>22148.081525689136</v>
      </c>
      <c r="H17" s="690">
        <f t="shared" si="5"/>
        <v>30098.446181785064</v>
      </c>
      <c r="I17" s="690">
        <f t="shared" si="6"/>
        <v>19693.092933551972</v>
      </c>
      <c r="J17" s="690">
        <f t="shared" si="7"/>
        <v>24729.540971294824</v>
      </c>
      <c r="K17" s="690">
        <f t="shared" si="8"/>
        <v>27141.453165551451</v>
      </c>
      <c r="L17" s="690">
        <f t="shared" si="9"/>
        <v>12347.579597477712</v>
      </c>
      <c r="M17" s="690">
        <f t="shared" si="10"/>
        <v>21374.876905794521</v>
      </c>
      <c r="N17" s="690">
        <f t="shared" si="11"/>
        <v>41050.47064663803</v>
      </c>
      <c r="O17" s="693">
        <f t="shared" si="12"/>
        <v>302599.62929349579</v>
      </c>
    </row>
    <row r="18" spans="1:17" x14ac:dyDescent="0.2">
      <c r="A18" s="663" t="s">
        <v>158</v>
      </c>
      <c r="B18" s="694">
        <f>'IEPS GyD '!F20</f>
        <v>1.9503729796933278</v>
      </c>
      <c r="C18" s="690">
        <f t="shared" si="0"/>
        <v>18714.167865017705</v>
      </c>
      <c r="D18" s="690">
        <f t="shared" si="1"/>
        <v>23649.509089103405</v>
      </c>
      <c r="E18" s="690">
        <f t="shared" si="2"/>
        <v>10886.0826128138</v>
      </c>
      <c r="F18" s="690">
        <f t="shared" si="3"/>
        <v>21417.968891498134</v>
      </c>
      <c r="G18" s="690">
        <f t="shared" si="4"/>
        <v>15898.953509190735</v>
      </c>
      <c r="H18" s="690">
        <f t="shared" si="5"/>
        <v>21606.10597301793</v>
      </c>
      <c r="I18" s="690">
        <f t="shared" si="6"/>
        <v>14136.645137392925</v>
      </c>
      <c r="J18" s="690">
        <f t="shared" si="7"/>
        <v>17752.048715831617</v>
      </c>
      <c r="K18" s="690">
        <f t="shared" si="8"/>
        <v>19483.434786460744</v>
      </c>
      <c r="L18" s="690">
        <f t="shared" si="9"/>
        <v>8863.683915179281</v>
      </c>
      <c r="M18" s="690">
        <f t="shared" si="10"/>
        <v>15343.910207108909</v>
      </c>
      <c r="N18" s="690">
        <f t="shared" si="11"/>
        <v>29467.993586003813</v>
      </c>
      <c r="O18" s="693">
        <f t="shared" si="12"/>
        <v>217220.50428861901</v>
      </c>
    </row>
    <row r="19" spans="1:17" x14ac:dyDescent="0.2">
      <c r="A19" s="663" t="s">
        <v>159</v>
      </c>
      <c r="B19" s="694">
        <f>'IEPS GyD '!F21</f>
        <v>3.3605405615416495</v>
      </c>
      <c r="C19" s="690">
        <f t="shared" si="0"/>
        <v>32244.971008458047</v>
      </c>
      <c r="D19" s="690">
        <f t="shared" si="1"/>
        <v>40748.685190960961</v>
      </c>
      <c r="E19" s="690">
        <f t="shared" si="2"/>
        <v>18756.987795435067</v>
      </c>
      <c r="F19" s="690">
        <f t="shared" si="3"/>
        <v>36903.686605130293</v>
      </c>
      <c r="G19" s="690">
        <f t="shared" si="4"/>
        <v>27394.287508075238</v>
      </c>
      <c r="H19" s="690">
        <f t="shared" si="5"/>
        <v>37227.85141881468</v>
      </c>
      <c r="I19" s="690">
        <f t="shared" si="6"/>
        <v>24357.786886382779</v>
      </c>
      <c r="J19" s="690">
        <f t="shared" si="7"/>
        <v>30587.216076688961</v>
      </c>
      <c r="K19" s="690">
        <f t="shared" si="8"/>
        <v>33570.436813756525</v>
      </c>
      <c r="L19" s="690">
        <f t="shared" si="9"/>
        <v>15272.345152324595</v>
      </c>
      <c r="M19" s="690">
        <f t="shared" si="10"/>
        <v>26437.934262066221</v>
      </c>
      <c r="N19" s="690">
        <f t="shared" si="11"/>
        <v>50774.076929934687</v>
      </c>
      <c r="O19" s="693">
        <f t="shared" si="12"/>
        <v>374276.265648028</v>
      </c>
    </row>
    <row r="20" spans="1:17" x14ac:dyDescent="0.2">
      <c r="A20" s="663" t="s">
        <v>287</v>
      </c>
      <c r="B20" s="694">
        <f>'IEPS GyD '!F22</f>
        <v>0.62187564753418989</v>
      </c>
      <c r="C20" s="690">
        <f t="shared" si="0"/>
        <v>5967.0049679171243</v>
      </c>
      <c r="D20" s="690">
        <f t="shared" si="1"/>
        <v>7540.6365509454472</v>
      </c>
      <c r="E20" s="690">
        <f t="shared" si="2"/>
        <v>3471.0231040109738</v>
      </c>
      <c r="F20" s="690">
        <f t="shared" si="3"/>
        <v>6829.1108479988461</v>
      </c>
      <c r="G20" s="690">
        <f t="shared" si="4"/>
        <v>5069.3749921610406</v>
      </c>
      <c r="H20" s="690">
        <f t="shared" si="5"/>
        <v>6889.0982814864201</v>
      </c>
      <c r="I20" s="690">
        <f t="shared" si="6"/>
        <v>4507.4636699281973</v>
      </c>
      <c r="J20" s="690">
        <f t="shared" si="7"/>
        <v>5660.2336605135433</v>
      </c>
      <c r="K20" s="690">
        <f t="shared" si="8"/>
        <v>6212.2854193383937</v>
      </c>
      <c r="L20" s="690">
        <f t="shared" si="9"/>
        <v>2826.1820850067406</v>
      </c>
      <c r="M20" s="690">
        <f t="shared" si="10"/>
        <v>4892.3996564250401</v>
      </c>
      <c r="N20" s="690">
        <f t="shared" si="11"/>
        <v>9395.8580146608274</v>
      </c>
      <c r="O20" s="693">
        <f t="shared" si="12"/>
        <v>69260.671250392596</v>
      </c>
    </row>
    <row r="21" spans="1:17" x14ac:dyDescent="0.2">
      <c r="A21" s="663" t="s">
        <v>288</v>
      </c>
      <c r="B21" s="694">
        <f>'IEPS GyD '!F23</f>
        <v>2.0163405252797348</v>
      </c>
      <c r="C21" s="690">
        <f t="shared" si="0"/>
        <v>19347.137935153391</v>
      </c>
      <c r="D21" s="690">
        <f t="shared" si="1"/>
        <v>24449.407408642721</v>
      </c>
      <c r="E21" s="690">
        <f t="shared" si="2"/>
        <v>11254.283033192421</v>
      </c>
      <c r="F21" s="690">
        <f t="shared" si="3"/>
        <v>22142.389735064331</v>
      </c>
      <c r="G21" s="690">
        <f t="shared" si="4"/>
        <v>16436.704468270684</v>
      </c>
      <c r="H21" s="690">
        <f t="shared" si="5"/>
        <v>22336.890184837721</v>
      </c>
      <c r="I21" s="690">
        <f t="shared" si="6"/>
        <v>14614.789467861685</v>
      </c>
      <c r="J21" s="690">
        <f t="shared" si="7"/>
        <v>18352.476990375228</v>
      </c>
      <c r="K21" s="690">
        <f t="shared" si="8"/>
        <v>20142.423803350084</v>
      </c>
      <c r="L21" s="690">
        <f t="shared" si="9"/>
        <v>9163.4806611483691</v>
      </c>
      <c r="M21" s="690">
        <f t="shared" si="10"/>
        <v>15862.887913732156</v>
      </c>
      <c r="N21" s="690">
        <f t="shared" si="11"/>
        <v>30464.690746220989</v>
      </c>
      <c r="O21" s="693">
        <f t="shared" si="12"/>
        <v>224567.56234784974</v>
      </c>
    </row>
    <row r="22" spans="1:17" x14ac:dyDescent="0.2">
      <c r="A22" s="663" t="s">
        <v>289</v>
      </c>
      <c r="B22" s="694">
        <f>'IEPS GyD '!F24</f>
        <v>7.6069888365105687</v>
      </c>
      <c r="C22" s="690">
        <f t="shared" si="0"/>
        <v>72990.380566161577</v>
      </c>
      <c r="D22" s="690">
        <f t="shared" si="1"/>
        <v>92239.563151686074</v>
      </c>
      <c r="E22" s="690">
        <f t="shared" si="2"/>
        <v>42458.703935709411</v>
      </c>
      <c r="F22" s="690">
        <f t="shared" si="3"/>
        <v>83535.945152385728</v>
      </c>
      <c r="G22" s="690">
        <f t="shared" si="4"/>
        <v>62010.273478886724</v>
      </c>
      <c r="H22" s="690">
        <f t="shared" si="5"/>
        <v>84269.73130188405</v>
      </c>
      <c r="I22" s="690">
        <f t="shared" si="6"/>
        <v>55136.788124888968</v>
      </c>
      <c r="J22" s="690">
        <f t="shared" si="7"/>
        <v>69237.852355684416</v>
      </c>
      <c r="K22" s="690">
        <f t="shared" si="8"/>
        <v>75990.73226537049</v>
      </c>
      <c r="L22" s="690">
        <f t="shared" si="9"/>
        <v>34570.795071068394</v>
      </c>
      <c r="M22" s="690">
        <f t="shared" si="10"/>
        <v>59845.452571974703</v>
      </c>
      <c r="N22" s="690">
        <f t="shared" si="11"/>
        <v>114933.24639800069</v>
      </c>
      <c r="O22" s="693">
        <f t="shared" si="12"/>
        <v>847219.46437370125</v>
      </c>
    </row>
    <row r="23" spans="1:17" x14ac:dyDescent="0.2">
      <c r="A23" s="663" t="s">
        <v>163</v>
      </c>
      <c r="B23" s="694">
        <f>'IEPS GyD '!F25</f>
        <v>3.0057727673021133</v>
      </c>
      <c r="C23" s="690">
        <f t="shared" si="0"/>
        <v>28840.912336795835</v>
      </c>
      <c r="D23" s="690">
        <f t="shared" si="1"/>
        <v>36446.900731401685</v>
      </c>
      <c r="E23" s="690">
        <f t="shared" si="2"/>
        <v>16776.837559214826</v>
      </c>
      <c r="F23" s="690">
        <f t="shared" si="3"/>
        <v>33007.813528626459</v>
      </c>
      <c r="G23" s="690">
        <f t="shared" si="4"/>
        <v>24502.309037342206</v>
      </c>
      <c r="H23" s="690">
        <f t="shared" si="5"/>
        <v>33297.756694389973</v>
      </c>
      <c r="I23" s="690">
        <f t="shared" si="6"/>
        <v>21786.367744732994</v>
      </c>
      <c r="J23" s="690">
        <f t="shared" si="7"/>
        <v>27358.164386720084</v>
      </c>
      <c r="K23" s="690">
        <f t="shared" si="8"/>
        <v>30026.450481209318</v>
      </c>
      <c r="L23" s="690">
        <f t="shared" si="9"/>
        <v>13660.064001916608</v>
      </c>
      <c r="M23" s="690">
        <f t="shared" si="10"/>
        <v>23646.916730618741</v>
      </c>
      <c r="N23" s="690">
        <f t="shared" si="11"/>
        <v>45413.925208177759</v>
      </c>
      <c r="O23" s="693">
        <f t="shared" si="12"/>
        <v>334764.4184411465</v>
      </c>
    </row>
    <row r="24" spans="1:17" x14ac:dyDescent="0.2">
      <c r="A24" s="663" t="s">
        <v>164</v>
      </c>
      <c r="B24" s="694">
        <f>'IEPS GyD '!F26</f>
        <v>34.475044032324909</v>
      </c>
      <c r="C24" s="690">
        <f t="shared" si="0"/>
        <v>330794.04190487223</v>
      </c>
      <c r="D24" s="690">
        <f t="shared" si="1"/>
        <v>418031.7691428985</v>
      </c>
      <c r="E24" s="690">
        <f t="shared" si="2"/>
        <v>192423.79858815178</v>
      </c>
      <c r="F24" s="690">
        <f t="shared" si="3"/>
        <v>378586.77714734612</v>
      </c>
      <c r="G24" s="690">
        <f t="shared" si="4"/>
        <v>281031.95030081982</v>
      </c>
      <c r="H24" s="690">
        <f t="shared" si="5"/>
        <v>381912.3124357441</v>
      </c>
      <c r="I24" s="690">
        <f t="shared" si="6"/>
        <v>249881.16050377424</v>
      </c>
      <c r="J24" s="690">
        <f t="shared" si="7"/>
        <v>313787.49988553562</v>
      </c>
      <c r="K24" s="690">
        <f t="shared" si="8"/>
        <v>344391.70310377271</v>
      </c>
      <c r="L24" s="690">
        <f t="shared" si="9"/>
        <v>156675.61868728502</v>
      </c>
      <c r="M24" s="690">
        <f t="shared" si="10"/>
        <v>271220.93339361949</v>
      </c>
      <c r="N24" s="690">
        <f t="shared" si="11"/>
        <v>520880.0506360014</v>
      </c>
      <c r="O24" s="693">
        <f t="shared" si="12"/>
        <v>3839617.6157298214</v>
      </c>
      <c r="Q24" s="667"/>
    </row>
    <row r="25" spans="1:17" x14ac:dyDescent="0.2">
      <c r="A25" s="663" t="s">
        <v>165</v>
      </c>
      <c r="B25" s="694">
        <f>'IEPS GyD '!F27</f>
        <v>2.4334334852880231</v>
      </c>
      <c r="C25" s="690">
        <f t="shared" si="0"/>
        <v>23349.217409275076</v>
      </c>
      <c r="D25" s="690">
        <f t="shared" si="1"/>
        <v>29506.924022858766</v>
      </c>
      <c r="E25" s="690">
        <f t="shared" si="2"/>
        <v>13582.303605230498</v>
      </c>
      <c r="F25" s="690">
        <f t="shared" si="3"/>
        <v>26722.684958250327</v>
      </c>
      <c r="G25" s="690">
        <f t="shared" si="4"/>
        <v>19836.742127336911</v>
      </c>
      <c r="H25" s="690">
        <f t="shared" si="5"/>
        <v>26957.419072576817</v>
      </c>
      <c r="I25" s="690">
        <f t="shared" si="6"/>
        <v>17637.952332776433</v>
      </c>
      <c r="J25" s="690">
        <f t="shared" si="7"/>
        <v>22148.804473471191</v>
      </c>
      <c r="K25" s="690">
        <f t="shared" si="8"/>
        <v>24309.013256148563</v>
      </c>
      <c r="L25" s="690">
        <f t="shared" si="9"/>
        <v>11059.005362962727</v>
      </c>
      <c r="M25" s="690">
        <f t="shared" si="10"/>
        <v>19144.227941007724</v>
      </c>
      <c r="N25" s="690">
        <f t="shared" si="11"/>
        <v>36766.507269655485</v>
      </c>
      <c r="O25" s="693">
        <f t="shared" si="12"/>
        <v>271020.80183155055</v>
      </c>
      <c r="Q25" s="667"/>
    </row>
    <row r="26" spans="1:17" ht="13.5" thickBot="1" x14ac:dyDescent="0.25">
      <c r="A26" s="663" t="s">
        <v>166</v>
      </c>
      <c r="B26" s="695">
        <f>'IEPS GyD '!F28</f>
        <v>5.2797509583506006</v>
      </c>
      <c r="C26" s="690">
        <f t="shared" si="0"/>
        <v>50660.128472246004</v>
      </c>
      <c r="D26" s="690">
        <f t="shared" si="1"/>
        <v>64020.328202735975</v>
      </c>
      <c r="E26" s="690">
        <f t="shared" si="2"/>
        <v>29469.135240339943</v>
      </c>
      <c r="F26" s="690">
        <f t="shared" si="3"/>
        <v>57979.444423287343</v>
      </c>
      <c r="G26" s="690">
        <f t="shared" si="4"/>
        <v>43039.211423099368</v>
      </c>
      <c r="H26" s="690">
        <f t="shared" si="5"/>
        <v>58488.740310175403</v>
      </c>
      <c r="I26" s="690">
        <f t="shared" si="6"/>
        <v>38268.560162143222</v>
      </c>
      <c r="J26" s="690">
        <f t="shared" si="7"/>
        <v>48055.62689595703</v>
      </c>
      <c r="K26" s="690">
        <f t="shared" si="8"/>
        <v>52742.570040091618</v>
      </c>
      <c r="L26" s="690">
        <f t="shared" si="9"/>
        <v>23994.407291800682</v>
      </c>
      <c r="M26" s="690">
        <f t="shared" si="10"/>
        <v>41536.683221261075</v>
      </c>
      <c r="N26" s="690">
        <f t="shared" si="11"/>
        <v>79771.23811509971</v>
      </c>
      <c r="O26" s="693">
        <f t="shared" si="12"/>
        <v>588026.07379823737</v>
      </c>
    </row>
    <row r="27" spans="1:17" ht="13.5" thickBot="1" x14ac:dyDescent="0.25">
      <c r="A27" s="668" t="s">
        <v>290</v>
      </c>
      <c r="B27" s="697">
        <f t="shared" ref="B27:O27" si="13">SUM(B7:B26)</f>
        <v>100</v>
      </c>
      <c r="C27" s="698">
        <f t="shared" si="13"/>
        <v>959517.38769270072</v>
      </c>
      <c r="D27" s="698">
        <f t="shared" si="13"/>
        <v>1212563.4089138173</v>
      </c>
      <c r="E27" s="698">
        <f t="shared" si="13"/>
        <v>558153.88780280901</v>
      </c>
      <c r="F27" s="698">
        <f t="shared" si="13"/>
        <v>1098147.3346121646</v>
      </c>
      <c r="G27" s="698">
        <f t="shared" si="13"/>
        <v>815175.02932647534</v>
      </c>
      <c r="H27" s="698">
        <f t="shared" si="13"/>
        <v>1107793.5450282553</v>
      </c>
      <c r="I27" s="698">
        <f t="shared" si="13"/>
        <v>724817.5238571926</v>
      </c>
      <c r="J27" s="698">
        <f t="shared" si="13"/>
        <v>910187.3795761317</v>
      </c>
      <c r="K27" s="698">
        <f t="shared" si="13"/>
        <v>998959.4292638466</v>
      </c>
      <c r="L27" s="698">
        <f t="shared" si="13"/>
        <v>454460.96759261837</v>
      </c>
      <c r="M27" s="698">
        <f t="shared" si="13"/>
        <v>786716.71351402486</v>
      </c>
      <c r="N27" s="698">
        <f t="shared" si="13"/>
        <v>1510890.1678199673</v>
      </c>
      <c r="O27" s="698">
        <f t="shared" si="13"/>
        <v>11137382.775000004</v>
      </c>
    </row>
    <row r="28" spans="1:17" x14ac:dyDescent="0.2">
      <c r="A28" s="671"/>
      <c r="B28" s="671"/>
      <c r="C28" s="671"/>
      <c r="D28" s="671"/>
      <c r="E28" s="671"/>
      <c r="F28" s="671"/>
      <c r="G28" s="671"/>
      <c r="H28" s="671"/>
      <c r="I28" s="671"/>
      <c r="J28" s="671"/>
      <c r="K28" s="671"/>
      <c r="L28" s="671"/>
      <c r="M28" s="671"/>
      <c r="N28" s="671"/>
      <c r="O28" s="671"/>
    </row>
    <row r="29" spans="1:17" ht="13.5" thickBot="1" x14ac:dyDescent="0.25">
      <c r="A29" s="672" t="s">
        <v>291</v>
      </c>
    </row>
    <row r="30" spans="1:17" x14ac:dyDescent="0.2">
      <c r="A30" s="708" t="s">
        <v>370</v>
      </c>
      <c r="C30" s="667">
        <f>'X22.55 POE'!B49</f>
        <v>3932547.3176927008</v>
      </c>
      <c r="D30" s="667">
        <f>'X22.55 POE'!C49</f>
        <v>4203963.918913817</v>
      </c>
      <c r="E30" s="667">
        <f>'X22.55 POE'!D49</f>
        <v>3957021.0178028089</v>
      </c>
      <c r="F30" s="667">
        <f>'X22.55 POE'!E49</f>
        <v>4359185.3446121644</v>
      </c>
      <c r="G30" s="667">
        <f>'X22.55 POE'!F49</f>
        <v>4295685.6193264751</v>
      </c>
      <c r="H30" s="667">
        <f>'X22.55 POE'!G49</f>
        <v>4451669.7950282553</v>
      </c>
      <c r="I30" s="667">
        <f>'X22.55 POE'!H49</f>
        <v>4191378.5438571926</v>
      </c>
      <c r="J30" s="667">
        <f>'X22.55 POE'!I49</f>
        <v>4351176.4695761316</v>
      </c>
      <c r="K30" s="667">
        <f>'X22.55 POE'!J49</f>
        <v>4281765.3192638466</v>
      </c>
      <c r="L30" s="667">
        <f>'X22.55 POE'!K49</f>
        <v>3910302.0175926182</v>
      </c>
      <c r="M30" s="667">
        <f>'X22.55 POE'!L49</f>
        <v>4115102.643514025</v>
      </c>
      <c r="N30" s="667">
        <f>'X22.55 POE'!M49</f>
        <v>3960834.7678199671</v>
      </c>
      <c r="O30" s="667">
        <f>SUM(C30:N30)</f>
        <v>50010632.774999991</v>
      </c>
    </row>
    <row r="31" spans="1:17" x14ac:dyDescent="0.2">
      <c r="A31" s="711" t="s">
        <v>371</v>
      </c>
      <c r="C31" s="667">
        <f>'X22.55 POE'!B50</f>
        <v>2973029.93</v>
      </c>
      <c r="D31" s="667">
        <f>'X22.55 POE'!C50</f>
        <v>2991400.51</v>
      </c>
      <c r="E31" s="667">
        <f>'X22.55 POE'!D50</f>
        <v>3398867.13</v>
      </c>
      <c r="F31" s="667">
        <f>'X22.55 POE'!E50</f>
        <v>3261038.01</v>
      </c>
      <c r="G31" s="667">
        <f>'X22.55 POE'!F50</f>
        <v>3480510.59</v>
      </c>
      <c r="H31" s="667">
        <f>'X22.55 POE'!G50</f>
        <v>3343876.25</v>
      </c>
      <c r="I31" s="667">
        <f>'X22.55 POE'!H50</f>
        <v>3466561.02</v>
      </c>
      <c r="J31" s="667">
        <f>'X22.55 POE'!I50</f>
        <v>3440989.09</v>
      </c>
      <c r="K31" s="667">
        <f>'X22.55 POE'!J50</f>
        <v>3282805.89</v>
      </c>
      <c r="L31" s="667">
        <f>'X22.55 POE'!K50</f>
        <v>3455841.05</v>
      </c>
      <c r="M31" s="667">
        <f>'X22.55 POE'!L50</f>
        <v>3328385.93</v>
      </c>
      <c r="N31" s="667">
        <f>'X22.55 POE'!M50</f>
        <v>2449944.6</v>
      </c>
      <c r="O31" s="667">
        <f>SUM(C31:N31)</f>
        <v>38873250.000000007</v>
      </c>
    </row>
    <row r="32" spans="1:17" ht="13.5" thickBot="1" x14ac:dyDescent="0.25">
      <c r="A32" s="715" t="s">
        <v>356</v>
      </c>
      <c r="C32" s="667">
        <f>C30-C31</f>
        <v>959517.38769270061</v>
      </c>
      <c r="D32" s="667">
        <f t="shared" ref="D32:N32" si="14">D30-D31</f>
        <v>1212563.4089138173</v>
      </c>
      <c r="E32" s="667">
        <f t="shared" si="14"/>
        <v>558153.88780280901</v>
      </c>
      <c r="F32" s="667">
        <f t="shared" si="14"/>
        <v>1098147.3346121646</v>
      </c>
      <c r="G32" s="667">
        <f t="shared" si="14"/>
        <v>815175.02932647523</v>
      </c>
      <c r="H32" s="667">
        <f t="shared" si="14"/>
        <v>1107793.5450282553</v>
      </c>
      <c r="I32" s="667">
        <f t="shared" si="14"/>
        <v>724817.5238571926</v>
      </c>
      <c r="J32" s="667">
        <f t="shared" si="14"/>
        <v>910187.3795761317</v>
      </c>
      <c r="K32" s="667">
        <f t="shared" si="14"/>
        <v>998959.42926384648</v>
      </c>
      <c r="L32" s="667">
        <f t="shared" si="14"/>
        <v>454460.96759261843</v>
      </c>
      <c r="M32" s="667">
        <f t="shared" si="14"/>
        <v>786716.71351402486</v>
      </c>
      <c r="N32" s="667">
        <f t="shared" si="14"/>
        <v>1510890.167819967</v>
      </c>
      <c r="O32" s="667">
        <f t="shared" ref="O32" si="15">O30-O31</f>
        <v>11137382.774999984</v>
      </c>
    </row>
  </sheetData>
  <mergeCells count="4">
    <mergeCell ref="A1:O1"/>
    <mergeCell ref="A2:O2"/>
    <mergeCell ref="A3:O3"/>
    <mergeCell ref="A4:O4"/>
  </mergeCells>
  <printOptions horizontalCentered="1"/>
  <pageMargins left="0.78740157480314965" right="0.78740157480314965" top="0.98425196850393704" bottom="0.98425196850393704" header="0" footer="0"/>
  <pageSetup paperSize="5" scale="90"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tabColor theme="8" tint="0.39997558519241921"/>
  </sheetPr>
  <dimension ref="A1:Q31"/>
  <sheetViews>
    <sheetView topLeftCell="A7" workbookViewId="0">
      <selection sqref="A1:O1"/>
    </sheetView>
  </sheetViews>
  <sheetFormatPr baseColWidth="10" defaultRowHeight="12.75" x14ac:dyDescent="0.2"/>
  <cols>
    <col min="1" max="1" width="16.85546875" style="658" customWidth="1"/>
    <col min="2" max="2" width="9.28515625" style="658" bestFit="1" customWidth="1"/>
    <col min="3" max="14" width="11.7109375" style="658" bestFit="1" customWidth="1"/>
    <col min="15" max="15" width="13" style="658" bestFit="1" customWidth="1"/>
    <col min="16" max="16384" width="11.42578125" style="658"/>
  </cols>
  <sheetData>
    <row r="1" spans="1:15" ht="15.75" x14ac:dyDescent="0.25">
      <c r="A1" s="1019" t="s">
        <v>279</v>
      </c>
      <c r="B1" s="1019"/>
      <c r="C1" s="1019"/>
      <c r="D1" s="1019"/>
      <c r="E1" s="1019"/>
      <c r="F1" s="1019"/>
      <c r="G1" s="1019"/>
      <c r="H1" s="1019"/>
      <c r="I1" s="1019"/>
      <c r="J1" s="1019"/>
      <c r="K1" s="1019"/>
      <c r="L1" s="1019"/>
      <c r="M1" s="1019"/>
      <c r="N1" s="1019"/>
      <c r="O1" s="1019"/>
    </row>
    <row r="2" spans="1:15" x14ac:dyDescent="0.2">
      <c r="A2" s="1020" t="s">
        <v>280</v>
      </c>
      <c r="B2" s="1020"/>
      <c r="C2" s="1020"/>
      <c r="D2" s="1020"/>
      <c r="E2" s="1020"/>
      <c r="F2" s="1020"/>
      <c r="G2" s="1020"/>
      <c r="H2" s="1020"/>
      <c r="I2" s="1020"/>
      <c r="J2" s="1020"/>
      <c r="K2" s="1020"/>
      <c r="L2" s="1020"/>
      <c r="M2" s="1020"/>
      <c r="N2" s="1020"/>
      <c r="O2" s="1020"/>
    </row>
    <row r="3" spans="1:15" x14ac:dyDescent="0.2">
      <c r="A3" s="1020" t="s">
        <v>281</v>
      </c>
      <c r="B3" s="1020"/>
      <c r="C3" s="1020"/>
      <c r="D3" s="1020"/>
      <c r="E3" s="1020"/>
      <c r="F3" s="1020"/>
      <c r="G3" s="1020"/>
      <c r="H3" s="1020"/>
      <c r="I3" s="1020"/>
      <c r="J3" s="1020"/>
      <c r="K3" s="1020"/>
      <c r="L3" s="1020"/>
      <c r="M3" s="1020"/>
      <c r="N3" s="1020"/>
      <c r="O3" s="1020"/>
    </row>
    <row r="4" spans="1:15" x14ac:dyDescent="0.2">
      <c r="A4" s="1021" t="s">
        <v>363</v>
      </c>
      <c r="B4" s="1021"/>
      <c r="C4" s="1021"/>
      <c r="D4" s="1021"/>
      <c r="E4" s="1021"/>
      <c r="F4" s="1021"/>
      <c r="G4" s="1021"/>
      <c r="H4" s="1021"/>
      <c r="I4" s="1021"/>
      <c r="J4" s="1021"/>
      <c r="K4" s="1021"/>
      <c r="L4" s="1021"/>
      <c r="M4" s="1021"/>
      <c r="N4" s="1021"/>
      <c r="O4" s="1021"/>
    </row>
    <row r="5" spans="1:15" ht="13.5" thickBot="1" x14ac:dyDescent="0.25"/>
    <row r="6" spans="1:15" ht="23.25" thickBot="1" x14ac:dyDescent="0.25">
      <c r="A6" s="659" t="s">
        <v>351</v>
      </c>
      <c r="B6" s="660" t="s">
        <v>283</v>
      </c>
      <c r="C6" s="659" t="s">
        <v>1</v>
      </c>
      <c r="D6" s="661" t="s">
        <v>2</v>
      </c>
      <c r="E6" s="659" t="s">
        <v>3</v>
      </c>
      <c r="F6" s="661" t="s">
        <v>4</v>
      </c>
      <c r="G6" s="659" t="s">
        <v>5</v>
      </c>
      <c r="H6" s="659" t="s">
        <v>6</v>
      </c>
      <c r="I6" s="659" t="s">
        <v>7</v>
      </c>
      <c r="J6" s="661" t="s">
        <v>8</v>
      </c>
      <c r="K6" s="659" t="s">
        <v>9</v>
      </c>
      <c r="L6" s="661" t="s">
        <v>10</v>
      </c>
      <c r="M6" s="659" t="s">
        <v>11</v>
      </c>
      <c r="N6" s="659" t="s">
        <v>12</v>
      </c>
      <c r="O6" s="662" t="s">
        <v>169</v>
      </c>
    </row>
    <row r="7" spans="1:15" x14ac:dyDescent="0.2">
      <c r="A7" s="663" t="s">
        <v>284</v>
      </c>
      <c r="B7" s="674">
        <v>3.6499999999999998E-2</v>
      </c>
      <c r="C7" s="690">
        <v>108515.59232688899</v>
      </c>
      <c r="D7" s="691">
        <v>109186.11860558472</v>
      </c>
      <c r="E7" s="690">
        <v>124058.65010120287</v>
      </c>
      <c r="F7" s="691">
        <v>119027.88731383004</v>
      </c>
      <c r="G7" s="690">
        <v>127038.63635508782</v>
      </c>
      <c r="H7" s="690">
        <v>122051.48316272711</v>
      </c>
      <c r="I7" s="692">
        <v>126529.47708009076</v>
      </c>
      <c r="J7" s="691">
        <v>125596.10193680914</v>
      </c>
      <c r="K7" s="690">
        <v>119822.41502762708</v>
      </c>
      <c r="L7" s="691">
        <v>126138.19845114372</v>
      </c>
      <c r="M7" s="690">
        <v>121486.08657087667</v>
      </c>
      <c r="N7" s="690">
        <v>89422.97806813092</v>
      </c>
      <c r="O7" s="693">
        <f>SUM(C7:N7)</f>
        <v>1418873.625</v>
      </c>
    </row>
    <row r="8" spans="1:15" x14ac:dyDescent="0.2">
      <c r="A8" s="663" t="s">
        <v>148</v>
      </c>
      <c r="B8" s="675">
        <v>1.49E-2</v>
      </c>
      <c r="C8" s="690">
        <v>44298.145908784827</v>
      </c>
      <c r="D8" s="691">
        <v>44571.867595156502</v>
      </c>
      <c r="E8" s="690">
        <v>50643.120178299265</v>
      </c>
      <c r="F8" s="691">
        <v>48589.466328111448</v>
      </c>
      <c r="G8" s="690">
        <v>51859.607717556399</v>
      </c>
      <c r="H8" s="690">
        <v>49823.756140400932</v>
      </c>
      <c r="I8" s="690">
        <v>51651.759136804176</v>
      </c>
      <c r="J8" s="691">
        <v>51270.737502971402</v>
      </c>
      <c r="K8" s="690">
        <v>48913.807778401198</v>
      </c>
      <c r="L8" s="691">
        <v>51492.03169649429</v>
      </c>
      <c r="M8" s="690">
        <v>49592.950408385273</v>
      </c>
      <c r="N8" s="690">
        <v>36504.174608634268</v>
      </c>
      <c r="O8" s="693">
        <f t="shared" ref="O8:O26" si="0">SUM(C8:N8)</f>
        <v>579211.42500000005</v>
      </c>
    </row>
    <row r="9" spans="1:15" x14ac:dyDescent="0.2">
      <c r="A9" s="663" t="s">
        <v>149</v>
      </c>
      <c r="B9" s="675">
        <v>1.09E-2</v>
      </c>
      <c r="C9" s="690">
        <v>32406.026201728495</v>
      </c>
      <c r="D9" s="691">
        <v>32606.265556188315</v>
      </c>
      <c r="E9" s="690">
        <v>37047.651674057852</v>
      </c>
      <c r="F9" s="691">
        <v>35545.314293719115</v>
      </c>
      <c r="G9" s="690">
        <v>37937.565377272804</v>
      </c>
      <c r="H9" s="690">
        <v>36448.251136266452</v>
      </c>
      <c r="I9" s="690">
        <v>37785.515073232586</v>
      </c>
      <c r="J9" s="691">
        <v>37506.781126334783</v>
      </c>
      <c r="K9" s="690">
        <v>35782.584213729737</v>
      </c>
      <c r="L9" s="691">
        <v>37668.667482670317</v>
      </c>
      <c r="M9" s="690">
        <v>36279.406674590566</v>
      </c>
      <c r="N9" s="690">
        <v>26704.396190208961</v>
      </c>
      <c r="O9" s="693">
        <f t="shared" si="0"/>
        <v>423718.42499999999</v>
      </c>
    </row>
    <row r="10" spans="1:15" x14ac:dyDescent="0.2">
      <c r="A10" s="663" t="s">
        <v>285</v>
      </c>
      <c r="B10" s="675">
        <v>8.8200000000000001E-2</v>
      </c>
      <c r="C10" s="690">
        <v>262221.23954059207</v>
      </c>
      <c r="D10" s="691">
        <v>263841.52495924855</v>
      </c>
      <c r="E10" s="690">
        <v>299780.08051852317</v>
      </c>
      <c r="F10" s="691">
        <v>287623.55235835095</v>
      </c>
      <c r="G10" s="690">
        <v>306981.03360325331</v>
      </c>
      <c r="H10" s="690">
        <v>294929.88534116524</v>
      </c>
      <c r="I10" s="690">
        <v>305750.68160175357</v>
      </c>
      <c r="J10" s="691">
        <v>303495.23810483742</v>
      </c>
      <c r="K10" s="690">
        <v>289543.47960100573</v>
      </c>
      <c r="L10" s="691">
        <v>304805.18091481854</v>
      </c>
      <c r="M10" s="690">
        <v>293563.6393301732</v>
      </c>
      <c r="N10" s="690">
        <v>216085.114126278</v>
      </c>
      <c r="O10" s="693">
        <f t="shared" si="0"/>
        <v>3428620.65</v>
      </c>
    </row>
    <row r="11" spans="1:15" x14ac:dyDescent="0.2">
      <c r="A11" s="663" t="s">
        <v>151</v>
      </c>
      <c r="B11" s="675">
        <v>6.6299999999999998E-2</v>
      </c>
      <c r="C11" s="690">
        <v>197111.88414445863</v>
      </c>
      <c r="D11" s="691">
        <v>198329.85379589771</v>
      </c>
      <c r="E11" s="690">
        <v>225344.8904578014</v>
      </c>
      <c r="F11" s="691">
        <v>216206.81997005295</v>
      </c>
      <c r="G11" s="690">
        <v>230757.8517902006</v>
      </c>
      <c r="H11" s="690">
        <v>221698.99544352895</v>
      </c>
      <c r="I11" s="690">
        <v>229832.99535369911</v>
      </c>
      <c r="J11" s="691">
        <v>228137.57694275194</v>
      </c>
      <c r="K11" s="690">
        <v>217650.03058442948</v>
      </c>
      <c r="L11" s="691">
        <v>229122.2618441323</v>
      </c>
      <c r="M11" s="690">
        <v>220671.98738764721</v>
      </c>
      <c r="N11" s="690">
        <v>162431.32728539946</v>
      </c>
      <c r="O11" s="693">
        <f t="shared" si="0"/>
        <v>2577296.4750000001</v>
      </c>
    </row>
    <row r="12" spans="1:15" x14ac:dyDescent="0.2">
      <c r="A12" s="663" t="s">
        <v>286</v>
      </c>
      <c r="B12" s="675">
        <v>3.2199999999999999E-2</v>
      </c>
      <c r="C12" s="690">
        <v>95731.563641803441</v>
      </c>
      <c r="D12" s="691">
        <v>96323.096413693915</v>
      </c>
      <c r="E12" s="690">
        <v>109443.52145914338</v>
      </c>
      <c r="F12" s="691">
        <v>105005.42387685829</v>
      </c>
      <c r="G12" s="690">
        <v>112072.44083928295</v>
      </c>
      <c r="H12" s="690">
        <v>107672.81528328254</v>
      </c>
      <c r="I12" s="690">
        <v>111623.26471175131</v>
      </c>
      <c r="J12" s="691">
        <v>110799.84883192478</v>
      </c>
      <c r="K12" s="690">
        <v>105706.34969560527</v>
      </c>
      <c r="L12" s="691">
        <v>111278.08192128297</v>
      </c>
      <c r="M12" s="690">
        <v>107174.02705704737</v>
      </c>
      <c r="N12" s="690">
        <v>78888.216268323711</v>
      </c>
      <c r="O12" s="693">
        <f t="shared" si="0"/>
        <v>1251718.6499999999</v>
      </c>
    </row>
    <row r="13" spans="1:15" x14ac:dyDescent="0.2">
      <c r="A13" s="663" t="s">
        <v>153</v>
      </c>
      <c r="B13" s="675">
        <v>1.11E-2</v>
      </c>
      <c r="C13" s="690">
        <v>33000.632187081312</v>
      </c>
      <c r="D13" s="691">
        <v>33204.545658136725</v>
      </c>
      <c r="E13" s="690">
        <v>37727.425099269924</v>
      </c>
      <c r="F13" s="691">
        <v>36197.521895438731</v>
      </c>
      <c r="G13" s="690">
        <v>38633.667494286979</v>
      </c>
      <c r="H13" s="690">
        <v>37117.026386473175</v>
      </c>
      <c r="I13" s="690">
        <v>38478.827276411168</v>
      </c>
      <c r="J13" s="691">
        <v>38194.978945166622</v>
      </c>
      <c r="K13" s="690">
        <v>36439.145391963313</v>
      </c>
      <c r="L13" s="691">
        <v>38359.835693361521</v>
      </c>
      <c r="M13" s="690">
        <v>36945.083861280305</v>
      </c>
      <c r="N13" s="690">
        <v>27194.385111130228</v>
      </c>
      <c r="O13" s="693">
        <f t="shared" si="0"/>
        <v>431493.07500000001</v>
      </c>
    </row>
    <row r="14" spans="1:15" x14ac:dyDescent="0.2">
      <c r="A14" s="663" t="s">
        <v>154</v>
      </c>
      <c r="B14" s="675">
        <v>2.7099999999999999E-2</v>
      </c>
      <c r="C14" s="690">
        <v>80569.111015306626</v>
      </c>
      <c r="D14" s="691">
        <v>81066.953814009481</v>
      </c>
      <c r="E14" s="690">
        <v>92109.299116235561</v>
      </c>
      <c r="F14" s="691">
        <v>88374.13003300807</v>
      </c>
      <c r="G14" s="690">
        <v>94321.836855421367</v>
      </c>
      <c r="H14" s="690">
        <v>90619.046403011089</v>
      </c>
      <c r="I14" s="690">
        <v>93943.803530697522</v>
      </c>
      <c r="J14" s="691">
        <v>93250.804451713091</v>
      </c>
      <c r="K14" s="690">
        <v>88964.039650649152</v>
      </c>
      <c r="L14" s="691">
        <v>93653.292548657395</v>
      </c>
      <c r="M14" s="690">
        <v>90199.258796459122</v>
      </c>
      <c r="N14" s="690">
        <v>66393.498784831449</v>
      </c>
      <c r="O14" s="693">
        <f t="shared" si="0"/>
        <v>1053465.075</v>
      </c>
    </row>
    <row r="15" spans="1:15" x14ac:dyDescent="0.2">
      <c r="A15" s="663" t="s">
        <v>155</v>
      </c>
      <c r="B15" s="675">
        <v>1.6899999999999998E-2</v>
      </c>
      <c r="C15" s="690">
        <v>50244.20576231298</v>
      </c>
      <c r="D15" s="691">
        <v>50554.668614640592</v>
      </c>
      <c r="E15" s="690">
        <v>57440.85443041996</v>
      </c>
      <c r="F15" s="691">
        <v>55111.542345307607</v>
      </c>
      <c r="G15" s="690">
        <v>58820.628887698193</v>
      </c>
      <c r="H15" s="690">
        <v>56511.508642468165</v>
      </c>
      <c r="I15" s="690">
        <v>58584.881168589964</v>
      </c>
      <c r="J15" s="691">
        <v>58152.715691289712</v>
      </c>
      <c r="K15" s="690">
        <v>55479.419560736926</v>
      </c>
      <c r="L15" s="691">
        <v>58403.713803406266</v>
      </c>
      <c r="M15" s="690">
        <v>56249.72227528262</v>
      </c>
      <c r="N15" s="690">
        <v>41404.063817846916</v>
      </c>
      <c r="O15" s="693">
        <f t="shared" si="0"/>
        <v>656957.92499999993</v>
      </c>
    </row>
    <row r="16" spans="1:15" x14ac:dyDescent="0.2">
      <c r="A16" s="663" t="s">
        <v>156</v>
      </c>
      <c r="B16" s="675">
        <v>1.2699999999999999E-2</v>
      </c>
      <c r="C16" s="690">
        <v>37757.480069903839</v>
      </c>
      <c r="D16" s="691">
        <v>37990.786473723994</v>
      </c>
      <c r="E16" s="690">
        <v>43165.612500966483</v>
      </c>
      <c r="F16" s="691">
        <v>41415.182709195658</v>
      </c>
      <c r="G16" s="690">
        <v>44202.484430400422</v>
      </c>
      <c r="H16" s="690">
        <v>42467.228388126969</v>
      </c>
      <c r="I16" s="690">
        <v>44025.324901839798</v>
      </c>
      <c r="J16" s="691">
        <v>43700.561495821261</v>
      </c>
      <c r="K16" s="690">
        <v>41691.634817831895</v>
      </c>
      <c r="L16" s="691">
        <v>43889.181378891102</v>
      </c>
      <c r="M16" s="690">
        <v>42270.501354798187</v>
      </c>
      <c r="N16" s="690">
        <v>31114.296478500346</v>
      </c>
      <c r="O16" s="693">
        <f t="shared" si="0"/>
        <v>493690.27500000002</v>
      </c>
    </row>
    <row r="17" spans="1:17" x14ac:dyDescent="0.2">
      <c r="A17" s="663" t="s">
        <v>157</v>
      </c>
      <c r="B17" s="675">
        <v>3.39E-2</v>
      </c>
      <c r="C17" s="690">
        <v>100785.71451730239</v>
      </c>
      <c r="D17" s="691">
        <v>101408.47728025539</v>
      </c>
      <c r="E17" s="690">
        <v>115221.59557344597</v>
      </c>
      <c r="F17" s="691">
        <v>110549.18849147504</v>
      </c>
      <c r="G17" s="690">
        <v>117989.30883390349</v>
      </c>
      <c r="H17" s="690">
        <v>113357.4049100397</v>
      </c>
      <c r="I17" s="690">
        <v>117516.41843876924</v>
      </c>
      <c r="J17" s="691">
        <v>116649.53029199534</v>
      </c>
      <c r="K17" s="690">
        <v>111287.11971059065</v>
      </c>
      <c r="L17" s="691">
        <v>117153.01171215814</v>
      </c>
      <c r="M17" s="690">
        <v>112832.28314391011</v>
      </c>
      <c r="N17" s="690">
        <v>83053.122096154475</v>
      </c>
      <c r="O17" s="693">
        <f t="shared" si="0"/>
        <v>1317803.175</v>
      </c>
    </row>
    <row r="18" spans="1:17" x14ac:dyDescent="0.2">
      <c r="A18" s="663" t="s">
        <v>158</v>
      </c>
      <c r="B18" s="675">
        <v>2.2100000000000002E-2</v>
      </c>
      <c r="C18" s="690">
        <v>65703.961381486224</v>
      </c>
      <c r="D18" s="691">
        <v>66109.951265299242</v>
      </c>
      <c r="E18" s="690">
        <v>75114.963485933811</v>
      </c>
      <c r="F18" s="691">
        <v>72068.93999001765</v>
      </c>
      <c r="G18" s="690">
        <v>76919.283930066871</v>
      </c>
      <c r="H18" s="690">
        <v>73899.665147842999</v>
      </c>
      <c r="I18" s="690">
        <v>76610.998451233041</v>
      </c>
      <c r="J18" s="691">
        <v>76045.858980917328</v>
      </c>
      <c r="K18" s="690">
        <v>72550.010194809831</v>
      </c>
      <c r="L18" s="691">
        <v>76374.087281377448</v>
      </c>
      <c r="M18" s="690">
        <v>73557.329129215752</v>
      </c>
      <c r="N18" s="690">
        <v>54143.775761799821</v>
      </c>
      <c r="O18" s="693">
        <f t="shared" si="0"/>
        <v>859098.82499999995</v>
      </c>
    </row>
    <row r="19" spans="1:17" x14ac:dyDescent="0.2">
      <c r="A19" s="663" t="s">
        <v>159</v>
      </c>
      <c r="B19" s="675">
        <v>3.95E-2</v>
      </c>
      <c r="C19" s="690">
        <v>117434.68210718124</v>
      </c>
      <c r="D19" s="691">
        <v>118160.32013481087</v>
      </c>
      <c r="E19" s="690">
        <v>134255.25147938394</v>
      </c>
      <c r="F19" s="691">
        <v>128811.0013396243</v>
      </c>
      <c r="G19" s="690">
        <v>137480.16811030052</v>
      </c>
      <c r="H19" s="690">
        <v>132083.11191582796</v>
      </c>
      <c r="I19" s="690">
        <v>136929.16012776946</v>
      </c>
      <c r="J19" s="691">
        <v>135919.06921928661</v>
      </c>
      <c r="K19" s="690">
        <v>129670.8327011307</v>
      </c>
      <c r="L19" s="691">
        <v>136505.72161151172</v>
      </c>
      <c r="M19" s="690">
        <v>131471.24437122271</v>
      </c>
      <c r="N19" s="690">
        <v>96772.811881949907</v>
      </c>
      <c r="O19" s="693">
        <f t="shared" si="0"/>
        <v>1535493.375</v>
      </c>
    </row>
    <row r="20" spans="1:17" x14ac:dyDescent="0.2">
      <c r="A20" s="663" t="s">
        <v>287</v>
      </c>
      <c r="B20" s="675">
        <v>7.4999999999999997E-3</v>
      </c>
      <c r="C20" s="690">
        <v>22297.724450730617</v>
      </c>
      <c r="D20" s="691">
        <v>22435.503823065352</v>
      </c>
      <c r="E20" s="690">
        <v>25491.503445452647</v>
      </c>
      <c r="F20" s="691">
        <v>24457.785064485626</v>
      </c>
      <c r="G20" s="690">
        <v>26103.829388031743</v>
      </c>
      <c r="H20" s="690">
        <v>25079.071882752145</v>
      </c>
      <c r="I20" s="690">
        <v>25999.207619196732</v>
      </c>
      <c r="J20" s="691">
        <v>25807.418206193659</v>
      </c>
      <c r="K20" s="690">
        <v>24621.04418375899</v>
      </c>
      <c r="L20" s="691">
        <v>25918.807900919943</v>
      </c>
      <c r="M20" s="690">
        <v>24962.89450086507</v>
      </c>
      <c r="N20" s="690">
        <v>18374.584534547448</v>
      </c>
      <c r="O20" s="693">
        <f t="shared" si="0"/>
        <v>291549.375</v>
      </c>
    </row>
    <row r="21" spans="1:17" x14ac:dyDescent="0.2">
      <c r="A21" s="663" t="s">
        <v>288</v>
      </c>
      <c r="B21" s="675">
        <v>2.2800000000000001E-2</v>
      </c>
      <c r="C21" s="690">
        <v>67785.082330221077</v>
      </c>
      <c r="D21" s="691">
        <v>68203.931622118675</v>
      </c>
      <c r="E21" s="690">
        <v>77494.170474176048</v>
      </c>
      <c r="F21" s="691">
        <v>74351.666596036303</v>
      </c>
      <c r="G21" s="690">
        <v>79355.641339616501</v>
      </c>
      <c r="H21" s="690">
        <v>76240.378523566527</v>
      </c>
      <c r="I21" s="690">
        <v>79037.591162358076</v>
      </c>
      <c r="J21" s="691">
        <v>78454.551346828724</v>
      </c>
      <c r="K21" s="690">
        <v>74847.974318627341</v>
      </c>
      <c r="L21" s="691">
        <v>78793.176018796628</v>
      </c>
      <c r="M21" s="690">
        <v>75887.199282629823</v>
      </c>
      <c r="N21" s="690">
        <v>55858.736985024247</v>
      </c>
      <c r="O21" s="693">
        <f t="shared" si="0"/>
        <v>886310.10000000009</v>
      </c>
    </row>
    <row r="22" spans="1:17" x14ac:dyDescent="0.2">
      <c r="A22" s="663" t="s">
        <v>289</v>
      </c>
      <c r="B22" s="675">
        <v>8.8800000000000004E-2</v>
      </c>
      <c r="C22" s="690">
        <v>264005.05749665049</v>
      </c>
      <c r="D22" s="691">
        <v>265636.3652650938</v>
      </c>
      <c r="E22" s="690">
        <v>301819.40079415939</v>
      </c>
      <c r="F22" s="691">
        <v>289580.17516350985</v>
      </c>
      <c r="G22" s="690">
        <v>309069.33995429584</v>
      </c>
      <c r="H22" s="690">
        <v>296936.2110917854</v>
      </c>
      <c r="I22" s="690">
        <v>307830.61821128934</v>
      </c>
      <c r="J22" s="691">
        <v>305559.83156133298</v>
      </c>
      <c r="K22" s="690">
        <v>291513.16313570651</v>
      </c>
      <c r="L22" s="691">
        <v>306878.68554689217</v>
      </c>
      <c r="M22" s="690">
        <v>295560.67089024244</v>
      </c>
      <c r="N22" s="690">
        <v>217555.08088904183</v>
      </c>
      <c r="O22" s="693">
        <f t="shared" si="0"/>
        <v>3451944.6</v>
      </c>
    </row>
    <row r="23" spans="1:17" x14ac:dyDescent="0.2">
      <c r="A23" s="663" t="s">
        <v>163</v>
      </c>
      <c r="B23" s="675">
        <v>3.9199999999999999E-2</v>
      </c>
      <c r="C23" s="690">
        <v>116542.77312915202</v>
      </c>
      <c r="D23" s="691">
        <v>117262.89998188824</v>
      </c>
      <c r="E23" s="690">
        <v>133235.59134156583</v>
      </c>
      <c r="F23" s="691">
        <v>127832.68993704488</v>
      </c>
      <c r="G23" s="690">
        <v>136436.01493477923</v>
      </c>
      <c r="H23" s="690">
        <v>131079.94904051788</v>
      </c>
      <c r="I23" s="690">
        <v>135889.19182300157</v>
      </c>
      <c r="J23" s="691">
        <v>134886.77249103886</v>
      </c>
      <c r="K23" s="690">
        <v>128685.99093378033</v>
      </c>
      <c r="L23" s="691">
        <v>135468.9692954749</v>
      </c>
      <c r="M23" s="690">
        <v>130472.72859118809</v>
      </c>
      <c r="N23" s="690">
        <v>96037.828500568008</v>
      </c>
      <c r="O23" s="693">
        <f t="shared" si="0"/>
        <v>1523831.4</v>
      </c>
    </row>
    <row r="24" spans="1:17" x14ac:dyDescent="0.2">
      <c r="A24" s="663" t="s">
        <v>164</v>
      </c>
      <c r="B24" s="677">
        <v>0.35420000000000001</v>
      </c>
      <c r="C24" s="690">
        <v>1053047.2000598379</v>
      </c>
      <c r="D24" s="691">
        <v>1059554.0605506331</v>
      </c>
      <c r="E24" s="690">
        <v>1203878.7360505771</v>
      </c>
      <c r="F24" s="691">
        <v>1155059.6626454412</v>
      </c>
      <c r="G24" s="690">
        <v>1232796.8492321125</v>
      </c>
      <c r="H24" s="690">
        <v>1184400.9681161081</v>
      </c>
      <c r="I24" s="690">
        <v>1227855.9118292644</v>
      </c>
      <c r="J24" s="691">
        <v>1218798.3371511726</v>
      </c>
      <c r="K24" s="690">
        <v>1162769.846651658</v>
      </c>
      <c r="L24" s="691">
        <v>1224058.9011341126</v>
      </c>
      <c r="M24" s="690">
        <v>1178914.297627521</v>
      </c>
      <c r="N24" s="690">
        <v>867770.37895156094</v>
      </c>
      <c r="O24" s="693">
        <f t="shared" si="0"/>
        <v>13768905.150000002</v>
      </c>
      <c r="Q24" s="667"/>
    </row>
    <row r="25" spans="1:17" x14ac:dyDescent="0.2">
      <c r="A25" s="663" t="s">
        <v>165</v>
      </c>
      <c r="B25" s="677">
        <v>0.03</v>
      </c>
      <c r="C25" s="690">
        <v>89190.897802922467</v>
      </c>
      <c r="D25" s="691">
        <v>89742.015292261407</v>
      </c>
      <c r="E25" s="690">
        <v>101966.01378181059</v>
      </c>
      <c r="F25" s="691">
        <v>97831.140257942505</v>
      </c>
      <c r="G25" s="690">
        <v>104415.31755212697</v>
      </c>
      <c r="H25" s="690">
        <v>100316.28753100858</v>
      </c>
      <c r="I25" s="690">
        <v>103996.83047678693</v>
      </c>
      <c r="J25" s="691">
        <v>103229.67282477464</v>
      </c>
      <c r="K25" s="690">
        <v>98484.176735035959</v>
      </c>
      <c r="L25" s="691">
        <v>103675.23160367977</v>
      </c>
      <c r="M25" s="690">
        <v>99851.578003460279</v>
      </c>
      <c r="N25" s="690">
        <v>73498.338138189793</v>
      </c>
      <c r="O25" s="693">
        <f t="shared" si="0"/>
        <v>1166197.5</v>
      </c>
      <c r="Q25" s="667"/>
    </row>
    <row r="26" spans="1:17" ht="13.5" thickBot="1" x14ac:dyDescent="0.25">
      <c r="A26" s="663" t="s">
        <v>166</v>
      </c>
      <c r="B26" s="676">
        <v>4.5199999999999997E-2</v>
      </c>
      <c r="C26" s="690">
        <v>134380.9526897365</v>
      </c>
      <c r="D26" s="691">
        <v>135211.30304034051</v>
      </c>
      <c r="E26" s="690">
        <v>153628.79409792795</v>
      </c>
      <c r="F26" s="691">
        <v>147398.91798863336</v>
      </c>
      <c r="G26" s="690">
        <v>157319.07844520462</v>
      </c>
      <c r="H26" s="690">
        <v>151143.20654671959</v>
      </c>
      <c r="I26" s="696">
        <v>156688.55791835897</v>
      </c>
      <c r="J26" s="691">
        <v>155532.70705599379</v>
      </c>
      <c r="K26" s="690">
        <v>148382.82628078753</v>
      </c>
      <c r="L26" s="691">
        <v>156204.01561621085</v>
      </c>
      <c r="M26" s="690">
        <v>150443.04419188015</v>
      </c>
      <c r="N26" s="690">
        <v>110737.49612820595</v>
      </c>
      <c r="O26" s="693">
        <f t="shared" si="0"/>
        <v>1757070.9</v>
      </c>
    </row>
    <row r="27" spans="1:17" ht="13.5" thickBot="1" x14ac:dyDescent="0.25">
      <c r="A27" s="668" t="s">
        <v>290</v>
      </c>
      <c r="B27" s="669">
        <f t="shared" ref="B27:O27" si="1">SUM(B7:B26)</f>
        <v>1</v>
      </c>
      <c r="C27" s="698">
        <f t="shared" si="1"/>
        <v>2973029.9267640822</v>
      </c>
      <c r="D27" s="698">
        <f t="shared" si="1"/>
        <v>2991400.5097420472</v>
      </c>
      <c r="E27" s="698">
        <f t="shared" si="1"/>
        <v>3398867.1260603536</v>
      </c>
      <c r="F27" s="698">
        <f t="shared" si="1"/>
        <v>3261038.0085980836</v>
      </c>
      <c r="G27" s="698">
        <f t="shared" si="1"/>
        <v>3480510.5850708988</v>
      </c>
      <c r="H27" s="698">
        <f t="shared" si="1"/>
        <v>3343876.25103362</v>
      </c>
      <c r="I27" s="698">
        <f t="shared" si="1"/>
        <v>3466561.0158928977</v>
      </c>
      <c r="J27" s="698">
        <f t="shared" si="1"/>
        <v>3440989.0941591547</v>
      </c>
      <c r="K27" s="698">
        <f t="shared" si="1"/>
        <v>3282805.8911678661</v>
      </c>
      <c r="L27" s="698">
        <f t="shared" si="1"/>
        <v>3455841.0534559926</v>
      </c>
      <c r="M27" s="698">
        <f t="shared" si="1"/>
        <v>3328385.933448676</v>
      </c>
      <c r="N27" s="698">
        <f t="shared" si="1"/>
        <v>2449944.6046063262</v>
      </c>
      <c r="O27" s="698">
        <f t="shared" si="1"/>
        <v>38873250</v>
      </c>
    </row>
    <row r="28" spans="1:17" x14ac:dyDescent="0.2">
      <c r="A28" s="671"/>
      <c r="B28" s="671"/>
      <c r="C28" s="671"/>
      <c r="D28" s="671"/>
      <c r="E28" s="671"/>
      <c r="F28" s="671"/>
      <c r="G28" s="671"/>
      <c r="H28" s="671"/>
      <c r="I28" s="671"/>
      <c r="J28" s="671"/>
      <c r="K28" s="671"/>
      <c r="L28" s="671"/>
      <c r="M28" s="671"/>
      <c r="N28" s="671"/>
      <c r="O28" s="671"/>
    </row>
    <row r="29" spans="1:17" x14ac:dyDescent="0.2">
      <c r="A29" s="672"/>
    </row>
    <row r="30" spans="1:17" x14ac:dyDescent="0.2">
      <c r="A30" s="658" t="s">
        <v>364</v>
      </c>
      <c r="C30" s="667">
        <v>4539603.375</v>
      </c>
      <c r="D30" s="667">
        <v>4573786.95</v>
      </c>
      <c r="E30" s="667">
        <v>4352117.1749999998</v>
      </c>
      <c r="F30" s="667">
        <v>4693787.0999999996</v>
      </c>
      <c r="G30" s="667">
        <v>4598731.8000000007</v>
      </c>
      <c r="H30" s="667">
        <v>4776747.9750000006</v>
      </c>
      <c r="I30" s="667">
        <v>4553755.4249999998</v>
      </c>
      <c r="J30" s="667">
        <v>4630857.75</v>
      </c>
      <c r="K30" s="667">
        <v>4524086.0250000004</v>
      </c>
      <c r="L30" s="667">
        <v>4336431.9750000006</v>
      </c>
      <c r="M30" s="667">
        <v>4456621.3499999996</v>
      </c>
      <c r="N30" s="667">
        <v>4261408.2</v>
      </c>
      <c r="O30" s="667">
        <f>SUM(C30:N30)</f>
        <v>54297935.100000009</v>
      </c>
    </row>
    <row r="31" spans="1:17" x14ac:dyDescent="0.2">
      <c r="A31" s="658" t="s">
        <v>356</v>
      </c>
      <c r="C31" s="667">
        <f>C30-C27</f>
        <v>1566573.4482359178</v>
      </c>
      <c r="D31" s="667">
        <f t="shared" ref="D31:O31" si="2">D30-D27</f>
        <v>1582386.440257953</v>
      </c>
      <c r="E31" s="667">
        <f t="shared" si="2"/>
        <v>953250.04893964622</v>
      </c>
      <c r="F31" s="667">
        <f t="shared" si="2"/>
        <v>1432749.091401916</v>
      </c>
      <c r="G31" s="667">
        <f t="shared" si="2"/>
        <v>1118221.214929102</v>
      </c>
      <c r="H31" s="667">
        <f t="shared" si="2"/>
        <v>1432871.7239663806</v>
      </c>
      <c r="I31" s="667">
        <f t="shared" si="2"/>
        <v>1087194.4091071021</v>
      </c>
      <c r="J31" s="667">
        <f t="shared" si="2"/>
        <v>1189868.6558408453</v>
      </c>
      <c r="K31" s="667">
        <f t="shared" si="2"/>
        <v>1241280.1338321343</v>
      </c>
      <c r="L31" s="667">
        <f t="shared" si="2"/>
        <v>880590.92154400796</v>
      </c>
      <c r="M31" s="667">
        <f t="shared" si="2"/>
        <v>1128235.4165513236</v>
      </c>
      <c r="N31" s="667">
        <f t="shared" si="2"/>
        <v>1811463.595393674</v>
      </c>
      <c r="O31" s="667">
        <f t="shared" si="2"/>
        <v>15424685.100000009</v>
      </c>
    </row>
  </sheetData>
  <mergeCells count="4">
    <mergeCell ref="A1:O1"/>
    <mergeCell ref="A2:O2"/>
    <mergeCell ref="A3:O3"/>
    <mergeCell ref="A4:O4"/>
  </mergeCells>
  <printOptions horizontalCentered="1"/>
  <pageMargins left="0.78740157480314965" right="0.78740157480314965" top="0.98425196850393704" bottom="0.98425196850393704" header="0" footer="0"/>
  <pageSetup paperSize="5" scale="90"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tabColor theme="7" tint="0.39997558519241921"/>
  </sheetPr>
  <dimension ref="A1:O38"/>
  <sheetViews>
    <sheetView topLeftCell="A7" workbookViewId="0">
      <selection sqref="A1:O1"/>
    </sheetView>
  </sheetViews>
  <sheetFormatPr baseColWidth="10" defaultRowHeight="12.75" x14ac:dyDescent="0.2"/>
  <cols>
    <col min="1" max="1" width="16.85546875" style="658" customWidth="1"/>
    <col min="2" max="2" width="9.28515625" style="658" bestFit="1" customWidth="1"/>
    <col min="3" max="5" width="11.7109375" style="658" bestFit="1" customWidth="1"/>
    <col min="6" max="6" width="10.140625" style="658" bestFit="1" customWidth="1"/>
    <col min="7" max="8" width="11.7109375" style="658" bestFit="1" customWidth="1"/>
    <col min="9" max="10" width="11.85546875" style="658" bestFit="1" customWidth="1"/>
    <col min="11" max="11" width="15.42578125" style="658" bestFit="1" customWidth="1"/>
    <col min="12" max="14" width="11.85546875" style="658" bestFit="1" customWidth="1"/>
    <col min="15" max="15" width="13.140625" style="658" bestFit="1" customWidth="1"/>
    <col min="16" max="16384" width="11.42578125" style="658"/>
  </cols>
  <sheetData>
    <row r="1" spans="1:15" ht="15.75" x14ac:dyDescent="0.25">
      <c r="A1" s="1019" t="s">
        <v>279</v>
      </c>
      <c r="B1" s="1019"/>
      <c r="C1" s="1019"/>
      <c r="D1" s="1019"/>
      <c r="E1" s="1019"/>
      <c r="F1" s="1019"/>
      <c r="G1" s="1019"/>
      <c r="H1" s="1019"/>
      <c r="I1" s="1019"/>
      <c r="J1" s="1019"/>
      <c r="K1" s="1019"/>
      <c r="L1" s="1019"/>
      <c r="M1" s="1019"/>
      <c r="N1" s="1019"/>
      <c r="O1" s="1019"/>
    </row>
    <row r="2" spans="1:15" x14ac:dyDescent="0.2">
      <c r="A2" s="1020" t="s">
        <v>280</v>
      </c>
      <c r="B2" s="1020"/>
      <c r="C2" s="1020"/>
      <c r="D2" s="1020"/>
      <c r="E2" s="1020"/>
      <c r="F2" s="1020"/>
      <c r="G2" s="1020"/>
      <c r="H2" s="1020"/>
      <c r="I2" s="1020"/>
      <c r="J2" s="1020"/>
      <c r="K2" s="1020"/>
      <c r="L2" s="1020"/>
      <c r="M2" s="1020"/>
      <c r="N2" s="1020"/>
      <c r="O2" s="1020"/>
    </row>
    <row r="3" spans="1:15" x14ac:dyDescent="0.2">
      <c r="A3" s="1020" t="s">
        <v>281</v>
      </c>
      <c r="B3" s="1020"/>
      <c r="C3" s="1020"/>
      <c r="D3" s="1020"/>
      <c r="E3" s="1020"/>
      <c r="F3" s="1020"/>
      <c r="G3" s="1020"/>
      <c r="H3" s="1020"/>
      <c r="I3" s="1020"/>
      <c r="J3" s="1020"/>
      <c r="K3" s="1020"/>
      <c r="L3" s="1020"/>
      <c r="M3" s="1020"/>
      <c r="N3" s="1020"/>
      <c r="O3" s="1020"/>
    </row>
    <row r="4" spans="1:15" x14ac:dyDescent="0.2">
      <c r="A4" s="1021" t="s">
        <v>365</v>
      </c>
      <c r="B4" s="1021"/>
      <c r="C4" s="1021"/>
      <c r="D4" s="1021"/>
      <c r="E4" s="1021"/>
      <c r="F4" s="1021"/>
      <c r="G4" s="1021"/>
      <c r="H4" s="1021"/>
      <c r="I4" s="1021"/>
      <c r="J4" s="1021"/>
      <c r="K4" s="1021"/>
      <c r="L4" s="1021"/>
      <c r="M4" s="1021"/>
      <c r="N4" s="1021"/>
      <c r="O4" s="1021"/>
    </row>
    <row r="5" spans="1:15" ht="13.5" thickBot="1" x14ac:dyDescent="0.25"/>
    <row r="6" spans="1:15" ht="34.5" thickBot="1" x14ac:dyDescent="0.25">
      <c r="A6" s="659" t="s">
        <v>351</v>
      </c>
      <c r="B6" s="660" t="s">
        <v>359</v>
      </c>
      <c r="C6" s="659" t="s">
        <v>1</v>
      </c>
      <c r="D6" s="661" t="s">
        <v>2</v>
      </c>
      <c r="E6" s="659" t="s">
        <v>3</v>
      </c>
      <c r="F6" s="661" t="s">
        <v>4</v>
      </c>
      <c r="G6" s="659" t="s">
        <v>5</v>
      </c>
      <c r="H6" s="659" t="s">
        <v>6</v>
      </c>
      <c r="I6" s="659" t="s">
        <v>7</v>
      </c>
      <c r="J6" s="661" t="s">
        <v>8</v>
      </c>
      <c r="K6" s="659" t="s">
        <v>9</v>
      </c>
      <c r="L6" s="661" t="s">
        <v>10</v>
      </c>
      <c r="M6" s="659" t="s">
        <v>11</v>
      </c>
      <c r="N6" s="659" t="s">
        <v>12</v>
      </c>
      <c r="O6" s="662" t="s">
        <v>169</v>
      </c>
    </row>
    <row r="7" spans="1:15" ht="13.5" thickBot="1" x14ac:dyDescent="0.25">
      <c r="A7" s="663" t="s">
        <v>284</v>
      </c>
      <c r="B7" s="700">
        <v>5</v>
      </c>
      <c r="C7" s="690">
        <f t="shared" ref="C7:C26" si="0">$C$32*B7/100</f>
        <v>25223.665980235208</v>
      </c>
      <c r="D7" s="691">
        <f t="shared" ref="D7:D26" si="1">$D$32*B7/100</f>
        <v>29405.830708456204</v>
      </c>
      <c r="E7" s="690">
        <f t="shared" ref="E7:E26" si="2">$E$32*B7/100</f>
        <v>40568.37754204822</v>
      </c>
      <c r="F7" s="691">
        <f t="shared" ref="F7:F26" si="3">$F$32*B7/100</f>
        <v>-5312.0397009523349</v>
      </c>
      <c r="G7" s="690">
        <f t="shared" ref="G7:G26" si="4">$G$32*B7/100</f>
        <v>10515.673148875381</v>
      </c>
      <c r="H7" s="690">
        <f t="shared" ref="H7:H26" si="5">$H$32*B7/100</f>
        <v>12803.149234173179</v>
      </c>
      <c r="I7" s="692">
        <f t="shared" ref="I7:I26" si="6">$I$32*B7/100</f>
        <v>13834.832826633647</v>
      </c>
      <c r="J7" s="691">
        <f t="shared" ref="J7:J26" si="7">$J$32*B7/100</f>
        <v>20344.498878863466</v>
      </c>
      <c r="K7" s="690">
        <f t="shared" ref="K7:K26" si="8">$K$32*B7/100</f>
        <v>23102.52438810889</v>
      </c>
      <c r="L7" s="691">
        <f t="shared" ref="L7:L26" si="9">$L$32*B7/100</f>
        <v>10989.272877308447</v>
      </c>
      <c r="M7" s="690">
        <f t="shared" ref="M7:M26" si="10">$M$32*B7/100</f>
        <v>9072.2731292287463</v>
      </c>
      <c r="N7" s="690">
        <f t="shared" ref="N7:N26" si="11">$N$32*B7/100</f>
        <v>8291.6742370209777</v>
      </c>
      <c r="O7" s="693">
        <f>SUM(C7:N7)</f>
        <v>198839.73325000005</v>
      </c>
    </row>
    <row r="8" spans="1:15" ht="13.5" thickBot="1" x14ac:dyDescent="0.25">
      <c r="A8" s="663" t="s">
        <v>148</v>
      </c>
      <c r="B8" s="700">
        <v>5</v>
      </c>
      <c r="C8" s="690">
        <f t="shared" si="0"/>
        <v>25223.665980235208</v>
      </c>
      <c r="D8" s="691">
        <f t="shared" si="1"/>
        <v>29405.830708456204</v>
      </c>
      <c r="E8" s="690">
        <f t="shared" si="2"/>
        <v>40568.37754204822</v>
      </c>
      <c r="F8" s="691">
        <f t="shared" si="3"/>
        <v>-5312.0397009523349</v>
      </c>
      <c r="G8" s="690">
        <f t="shared" si="4"/>
        <v>10515.673148875381</v>
      </c>
      <c r="H8" s="690">
        <f t="shared" si="5"/>
        <v>12803.149234173179</v>
      </c>
      <c r="I8" s="692">
        <f t="shared" si="6"/>
        <v>13834.832826633647</v>
      </c>
      <c r="J8" s="691">
        <f t="shared" si="7"/>
        <v>20344.498878863466</v>
      </c>
      <c r="K8" s="690">
        <f t="shared" si="8"/>
        <v>23102.52438810889</v>
      </c>
      <c r="L8" s="691">
        <f t="shared" si="9"/>
        <v>10989.272877308447</v>
      </c>
      <c r="M8" s="690">
        <f t="shared" si="10"/>
        <v>9072.2731292287463</v>
      </c>
      <c r="N8" s="690">
        <f t="shared" si="11"/>
        <v>8291.6742370209777</v>
      </c>
      <c r="O8" s="693">
        <f t="shared" ref="O8:O26" si="12">SUM(C8:N8)</f>
        <v>198839.73325000005</v>
      </c>
    </row>
    <row r="9" spans="1:15" ht="13.5" thickBot="1" x14ac:dyDescent="0.25">
      <c r="A9" s="663" t="s">
        <v>149</v>
      </c>
      <c r="B9" s="700">
        <v>5</v>
      </c>
      <c r="C9" s="690">
        <f t="shared" si="0"/>
        <v>25223.665980235208</v>
      </c>
      <c r="D9" s="691">
        <f t="shared" si="1"/>
        <v>29405.830708456204</v>
      </c>
      <c r="E9" s="690">
        <f t="shared" si="2"/>
        <v>40568.37754204822</v>
      </c>
      <c r="F9" s="691">
        <f t="shared" si="3"/>
        <v>-5312.0397009523349</v>
      </c>
      <c r="G9" s="690">
        <f t="shared" si="4"/>
        <v>10515.673148875381</v>
      </c>
      <c r="H9" s="690">
        <f t="shared" si="5"/>
        <v>12803.149234173179</v>
      </c>
      <c r="I9" s="692">
        <f t="shared" si="6"/>
        <v>13834.832826633647</v>
      </c>
      <c r="J9" s="691">
        <f t="shared" si="7"/>
        <v>20344.498878863466</v>
      </c>
      <c r="K9" s="690">
        <f t="shared" si="8"/>
        <v>23102.52438810889</v>
      </c>
      <c r="L9" s="691">
        <f t="shared" si="9"/>
        <v>10989.272877308447</v>
      </c>
      <c r="M9" s="690">
        <f t="shared" si="10"/>
        <v>9072.2731292287463</v>
      </c>
      <c r="N9" s="690">
        <f t="shared" si="11"/>
        <v>8291.6742370209777</v>
      </c>
      <c r="O9" s="693">
        <f t="shared" si="12"/>
        <v>198839.73325000005</v>
      </c>
    </row>
    <row r="10" spans="1:15" ht="13.5" thickBot="1" x14ac:dyDescent="0.25">
      <c r="A10" s="663" t="s">
        <v>285</v>
      </c>
      <c r="B10" s="700">
        <v>5</v>
      </c>
      <c r="C10" s="690">
        <f t="shared" si="0"/>
        <v>25223.665980235208</v>
      </c>
      <c r="D10" s="691">
        <f t="shared" si="1"/>
        <v>29405.830708456204</v>
      </c>
      <c r="E10" s="690">
        <f t="shared" si="2"/>
        <v>40568.37754204822</v>
      </c>
      <c r="F10" s="691">
        <f t="shared" si="3"/>
        <v>-5312.0397009523349</v>
      </c>
      <c r="G10" s="690">
        <f t="shared" si="4"/>
        <v>10515.673148875381</v>
      </c>
      <c r="H10" s="690">
        <f t="shared" si="5"/>
        <v>12803.149234173179</v>
      </c>
      <c r="I10" s="692">
        <f t="shared" si="6"/>
        <v>13834.832826633647</v>
      </c>
      <c r="J10" s="691">
        <f t="shared" si="7"/>
        <v>20344.498878863466</v>
      </c>
      <c r="K10" s="690">
        <f t="shared" si="8"/>
        <v>23102.52438810889</v>
      </c>
      <c r="L10" s="691">
        <f t="shared" si="9"/>
        <v>10989.272877308447</v>
      </c>
      <c r="M10" s="690">
        <f t="shared" si="10"/>
        <v>9072.2731292287463</v>
      </c>
      <c r="N10" s="690">
        <f t="shared" si="11"/>
        <v>8291.6742370209777</v>
      </c>
      <c r="O10" s="693">
        <f t="shared" si="12"/>
        <v>198839.73325000005</v>
      </c>
    </row>
    <row r="11" spans="1:15" ht="13.5" thickBot="1" x14ac:dyDescent="0.25">
      <c r="A11" s="663" t="s">
        <v>151</v>
      </c>
      <c r="B11" s="700">
        <v>5</v>
      </c>
      <c r="C11" s="690">
        <f t="shared" si="0"/>
        <v>25223.665980235208</v>
      </c>
      <c r="D11" s="691">
        <f t="shared" si="1"/>
        <v>29405.830708456204</v>
      </c>
      <c r="E11" s="690">
        <f t="shared" si="2"/>
        <v>40568.37754204822</v>
      </c>
      <c r="F11" s="691">
        <f t="shared" si="3"/>
        <v>-5312.0397009523349</v>
      </c>
      <c r="G11" s="690">
        <f t="shared" si="4"/>
        <v>10515.673148875381</v>
      </c>
      <c r="H11" s="690">
        <f t="shared" si="5"/>
        <v>12803.149234173179</v>
      </c>
      <c r="I11" s="692">
        <f t="shared" si="6"/>
        <v>13834.832826633647</v>
      </c>
      <c r="J11" s="691">
        <f t="shared" si="7"/>
        <v>20344.498878863466</v>
      </c>
      <c r="K11" s="690">
        <f t="shared" si="8"/>
        <v>23102.52438810889</v>
      </c>
      <c r="L11" s="691">
        <f t="shared" si="9"/>
        <v>10989.272877308447</v>
      </c>
      <c r="M11" s="690">
        <f t="shared" si="10"/>
        <v>9072.2731292287463</v>
      </c>
      <c r="N11" s="690">
        <f t="shared" si="11"/>
        <v>8291.6742370209777</v>
      </c>
      <c r="O11" s="693">
        <f t="shared" si="12"/>
        <v>198839.73325000005</v>
      </c>
    </row>
    <row r="12" spans="1:15" ht="13.5" thickBot="1" x14ac:dyDescent="0.25">
      <c r="A12" s="663" t="s">
        <v>286</v>
      </c>
      <c r="B12" s="700">
        <v>5</v>
      </c>
      <c r="C12" s="690">
        <f t="shared" si="0"/>
        <v>25223.665980235208</v>
      </c>
      <c r="D12" s="691">
        <f t="shared" si="1"/>
        <v>29405.830708456204</v>
      </c>
      <c r="E12" s="690">
        <f t="shared" si="2"/>
        <v>40568.37754204822</v>
      </c>
      <c r="F12" s="691">
        <f t="shared" si="3"/>
        <v>-5312.0397009523349</v>
      </c>
      <c r="G12" s="690">
        <f t="shared" si="4"/>
        <v>10515.673148875381</v>
      </c>
      <c r="H12" s="690">
        <f t="shared" si="5"/>
        <v>12803.149234173179</v>
      </c>
      <c r="I12" s="692">
        <f t="shared" si="6"/>
        <v>13834.832826633647</v>
      </c>
      <c r="J12" s="691">
        <f t="shared" si="7"/>
        <v>20344.498878863466</v>
      </c>
      <c r="K12" s="690">
        <f t="shared" si="8"/>
        <v>23102.52438810889</v>
      </c>
      <c r="L12" s="691">
        <f t="shared" si="9"/>
        <v>10989.272877308447</v>
      </c>
      <c r="M12" s="690">
        <f t="shared" si="10"/>
        <v>9072.2731292287463</v>
      </c>
      <c r="N12" s="690">
        <f t="shared" si="11"/>
        <v>8291.6742370209777</v>
      </c>
      <c r="O12" s="693">
        <f t="shared" si="12"/>
        <v>198839.73325000005</v>
      </c>
    </row>
    <row r="13" spans="1:15" ht="13.5" thickBot="1" x14ac:dyDescent="0.25">
      <c r="A13" s="663" t="s">
        <v>153</v>
      </c>
      <c r="B13" s="700">
        <v>5</v>
      </c>
      <c r="C13" s="690">
        <f t="shared" si="0"/>
        <v>25223.665980235208</v>
      </c>
      <c r="D13" s="691">
        <f t="shared" si="1"/>
        <v>29405.830708456204</v>
      </c>
      <c r="E13" s="690">
        <f t="shared" si="2"/>
        <v>40568.37754204822</v>
      </c>
      <c r="F13" s="691">
        <f t="shared" si="3"/>
        <v>-5312.0397009523349</v>
      </c>
      <c r="G13" s="690">
        <f t="shared" si="4"/>
        <v>10515.673148875381</v>
      </c>
      <c r="H13" s="690">
        <f t="shared" si="5"/>
        <v>12803.149234173179</v>
      </c>
      <c r="I13" s="692">
        <f t="shared" si="6"/>
        <v>13834.832826633647</v>
      </c>
      <c r="J13" s="691">
        <f t="shared" si="7"/>
        <v>20344.498878863466</v>
      </c>
      <c r="K13" s="690">
        <f t="shared" si="8"/>
        <v>23102.52438810889</v>
      </c>
      <c r="L13" s="691">
        <f t="shared" si="9"/>
        <v>10989.272877308447</v>
      </c>
      <c r="M13" s="690">
        <f t="shared" si="10"/>
        <v>9072.2731292287463</v>
      </c>
      <c r="N13" s="690">
        <f t="shared" si="11"/>
        <v>8291.6742370209777</v>
      </c>
      <c r="O13" s="693">
        <f t="shared" si="12"/>
        <v>198839.73325000005</v>
      </c>
    </row>
    <row r="14" spans="1:15" ht="13.5" thickBot="1" x14ac:dyDescent="0.25">
      <c r="A14" s="663" t="s">
        <v>154</v>
      </c>
      <c r="B14" s="700">
        <v>5</v>
      </c>
      <c r="C14" s="690">
        <f t="shared" si="0"/>
        <v>25223.665980235208</v>
      </c>
      <c r="D14" s="691">
        <f t="shared" si="1"/>
        <v>29405.830708456204</v>
      </c>
      <c r="E14" s="690">
        <f t="shared" si="2"/>
        <v>40568.37754204822</v>
      </c>
      <c r="F14" s="691">
        <f t="shared" si="3"/>
        <v>-5312.0397009523349</v>
      </c>
      <c r="G14" s="690">
        <f t="shared" si="4"/>
        <v>10515.673148875381</v>
      </c>
      <c r="H14" s="690">
        <f t="shared" si="5"/>
        <v>12803.149234173179</v>
      </c>
      <c r="I14" s="692">
        <f t="shared" si="6"/>
        <v>13834.832826633647</v>
      </c>
      <c r="J14" s="691">
        <f t="shared" si="7"/>
        <v>20344.498878863466</v>
      </c>
      <c r="K14" s="690">
        <f t="shared" si="8"/>
        <v>23102.52438810889</v>
      </c>
      <c r="L14" s="691">
        <f t="shared" si="9"/>
        <v>10989.272877308447</v>
      </c>
      <c r="M14" s="690">
        <f t="shared" si="10"/>
        <v>9072.2731292287463</v>
      </c>
      <c r="N14" s="690">
        <f t="shared" si="11"/>
        <v>8291.6742370209777</v>
      </c>
      <c r="O14" s="693">
        <f t="shared" si="12"/>
        <v>198839.73325000005</v>
      </c>
    </row>
    <row r="15" spans="1:15" ht="13.5" thickBot="1" x14ac:dyDescent="0.25">
      <c r="A15" s="663" t="s">
        <v>155</v>
      </c>
      <c r="B15" s="700">
        <v>5</v>
      </c>
      <c r="C15" s="690">
        <f t="shared" si="0"/>
        <v>25223.665980235208</v>
      </c>
      <c r="D15" s="691">
        <f t="shared" si="1"/>
        <v>29405.830708456204</v>
      </c>
      <c r="E15" s="690">
        <f t="shared" si="2"/>
        <v>40568.37754204822</v>
      </c>
      <c r="F15" s="691">
        <f t="shared" si="3"/>
        <v>-5312.0397009523349</v>
      </c>
      <c r="G15" s="690">
        <f t="shared" si="4"/>
        <v>10515.673148875381</v>
      </c>
      <c r="H15" s="690">
        <f t="shared" si="5"/>
        <v>12803.149234173179</v>
      </c>
      <c r="I15" s="692">
        <f t="shared" si="6"/>
        <v>13834.832826633647</v>
      </c>
      <c r="J15" s="691">
        <f t="shared" si="7"/>
        <v>20344.498878863466</v>
      </c>
      <c r="K15" s="690">
        <f t="shared" si="8"/>
        <v>23102.52438810889</v>
      </c>
      <c r="L15" s="691">
        <f t="shared" si="9"/>
        <v>10989.272877308447</v>
      </c>
      <c r="M15" s="690">
        <f t="shared" si="10"/>
        <v>9072.2731292287463</v>
      </c>
      <c r="N15" s="690">
        <f t="shared" si="11"/>
        <v>8291.6742370209777</v>
      </c>
      <c r="O15" s="693">
        <f t="shared" si="12"/>
        <v>198839.73325000005</v>
      </c>
    </row>
    <row r="16" spans="1:15" ht="13.5" thickBot="1" x14ac:dyDescent="0.25">
      <c r="A16" s="663" t="s">
        <v>156</v>
      </c>
      <c r="B16" s="700">
        <v>5</v>
      </c>
      <c r="C16" s="690">
        <f t="shared" si="0"/>
        <v>25223.665980235208</v>
      </c>
      <c r="D16" s="691">
        <f t="shared" si="1"/>
        <v>29405.830708456204</v>
      </c>
      <c r="E16" s="690">
        <f t="shared" si="2"/>
        <v>40568.37754204822</v>
      </c>
      <c r="F16" s="691">
        <f t="shared" si="3"/>
        <v>-5312.0397009523349</v>
      </c>
      <c r="G16" s="690">
        <f t="shared" si="4"/>
        <v>10515.673148875381</v>
      </c>
      <c r="H16" s="690">
        <f t="shared" si="5"/>
        <v>12803.149234173179</v>
      </c>
      <c r="I16" s="692">
        <f t="shared" si="6"/>
        <v>13834.832826633647</v>
      </c>
      <c r="J16" s="691">
        <f t="shared" si="7"/>
        <v>20344.498878863466</v>
      </c>
      <c r="K16" s="690">
        <f t="shared" si="8"/>
        <v>23102.52438810889</v>
      </c>
      <c r="L16" s="691">
        <f t="shared" si="9"/>
        <v>10989.272877308447</v>
      </c>
      <c r="M16" s="690">
        <f t="shared" si="10"/>
        <v>9072.2731292287463</v>
      </c>
      <c r="N16" s="690">
        <f t="shared" si="11"/>
        <v>8291.6742370209777</v>
      </c>
      <c r="O16" s="693">
        <f t="shared" si="12"/>
        <v>198839.73325000005</v>
      </c>
    </row>
    <row r="17" spans="1:15" ht="13.5" thickBot="1" x14ac:dyDescent="0.25">
      <c r="A17" s="663" t="s">
        <v>157</v>
      </c>
      <c r="B17" s="700">
        <v>5</v>
      </c>
      <c r="C17" s="690">
        <f t="shared" si="0"/>
        <v>25223.665980235208</v>
      </c>
      <c r="D17" s="691">
        <f t="shared" si="1"/>
        <v>29405.830708456204</v>
      </c>
      <c r="E17" s="690">
        <f t="shared" si="2"/>
        <v>40568.37754204822</v>
      </c>
      <c r="F17" s="691">
        <f t="shared" si="3"/>
        <v>-5312.0397009523349</v>
      </c>
      <c r="G17" s="690">
        <f t="shared" si="4"/>
        <v>10515.673148875381</v>
      </c>
      <c r="H17" s="690">
        <f t="shared" si="5"/>
        <v>12803.149234173179</v>
      </c>
      <c r="I17" s="692">
        <f t="shared" si="6"/>
        <v>13834.832826633647</v>
      </c>
      <c r="J17" s="691">
        <f t="shared" si="7"/>
        <v>20344.498878863466</v>
      </c>
      <c r="K17" s="690">
        <f t="shared" si="8"/>
        <v>23102.52438810889</v>
      </c>
      <c r="L17" s="691">
        <f t="shared" si="9"/>
        <v>10989.272877308447</v>
      </c>
      <c r="M17" s="690">
        <f t="shared" si="10"/>
        <v>9072.2731292287463</v>
      </c>
      <c r="N17" s="690">
        <f t="shared" si="11"/>
        <v>8291.6742370209777</v>
      </c>
      <c r="O17" s="693">
        <f t="shared" si="12"/>
        <v>198839.73325000005</v>
      </c>
    </row>
    <row r="18" spans="1:15" ht="13.5" thickBot="1" x14ac:dyDescent="0.25">
      <c r="A18" s="663" t="s">
        <v>158</v>
      </c>
      <c r="B18" s="700">
        <v>5</v>
      </c>
      <c r="C18" s="690">
        <f t="shared" si="0"/>
        <v>25223.665980235208</v>
      </c>
      <c r="D18" s="691">
        <f t="shared" si="1"/>
        <v>29405.830708456204</v>
      </c>
      <c r="E18" s="690">
        <f t="shared" si="2"/>
        <v>40568.37754204822</v>
      </c>
      <c r="F18" s="691">
        <f t="shared" si="3"/>
        <v>-5312.0397009523349</v>
      </c>
      <c r="G18" s="690">
        <f t="shared" si="4"/>
        <v>10515.673148875381</v>
      </c>
      <c r="H18" s="690">
        <f t="shared" si="5"/>
        <v>12803.149234173179</v>
      </c>
      <c r="I18" s="692">
        <f t="shared" si="6"/>
        <v>13834.832826633647</v>
      </c>
      <c r="J18" s="691">
        <f t="shared" si="7"/>
        <v>20344.498878863466</v>
      </c>
      <c r="K18" s="690">
        <f t="shared" si="8"/>
        <v>23102.52438810889</v>
      </c>
      <c r="L18" s="691">
        <f t="shared" si="9"/>
        <v>10989.272877308447</v>
      </c>
      <c r="M18" s="690">
        <f t="shared" si="10"/>
        <v>9072.2731292287463</v>
      </c>
      <c r="N18" s="690">
        <f t="shared" si="11"/>
        <v>8291.6742370209777</v>
      </c>
      <c r="O18" s="693">
        <f t="shared" si="12"/>
        <v>198839.73325000005</v>
      </c>
    </row>
    <row r="19" spans="1:15" ht="13.5" thickBot="1" x14ac:dyDescent="0.25">
      <c r="A19" s="663" t="s">
        <v>159</v>
      </c>
      <c r="B19" s="700">
        <v>5</v>
      </c>
      <c r="C19" s="690">
        <f t="shared" si="0"/>
        <v>25223.665980235208</v>
      </c>
      <c r="D19" s="691">
        <f t="shared" si="1"/>
        <v>29405.830708456204</v>
      </c>
      <c r="E19" s="690">
        <f t="shared" si="2"/>
        <v>40568.37754204822</v>
      </c>
      <c r="F19" s="691">
        <f t="shared" si="3"/>
        <v>-5312.0397009523349</v>
      </c>
      <c r="G19" s="690">
        <f t="shared" si="4"/>
        <v>10515.673148875381</v>
      </c>
      <c r="H19" s="690">
        <f t="shared" si="5"/>
        <v>12803.149234173179</v>
      </c>
      <c r="I19" s="692">
        <f t="shared" si="6"/>
        <v>13834.832826633647</v>
      </c>
      <c r="J19" s="691">
        <f t="shared" si="7"/>
        <v>20344.498878863466</v>
      </c>
      <c r="K19" s="690">
        <f t="shared" si="8"/>
        <v>23102.52438810889</v>
      </c>
      <c r="L19" s="691">
        <f t="shared" si="9"/>
        <v>10989.272877308447</v>
      </c>
      <c r="M19" s="690">
        <f t="shared" si="10"/>
        <v>9072.2731292287463</v>
      </c>
      <c r="N19" s="690">
        <f t="shared" si="11"/>
        <v>8291.6742370209777</v>
      </c>
      <c r="O19" s="693">
        <f t="shared" si="12"/>
        <v>198839.73325000005</v>
      </c>
    </row>
    <row r="20" spans="1:15" ht="13.5" thickBot="1" x14ac:dyDescent="0.25">
      <c r="A20" s="663" t="s">
        <v>287</v>
      </c>
      <c r="B20" s="700">
        <v>5</v>
      </c>
      <c r="C20" s="690">
        <f t="shared" si="0"/>
        <v>25223.665980235208</v>
      </c>
      <c r="D20" s="691">
        <f t="shared" si="1"/>
        <v>29405.830708456204</v>
      </c>
      <c r="E20" s="690">
        <f t="shared" si="2"/>
        <v>40568.37754204822</v>
      </c>
      <c r="F20" s="691">
        <f t="shared" si="3"/>
        <v>-5312.0397009523349</v>
      </c>
      <c r="G20" s="690">
        <f t="shared" si="4"/>
        <v>10515.673148875381</v>
      </c>
      <c r="H20" s="690">
        <f t="shared" si="5"/>
        <v>12803.149234173179</v>
      </c>
      <c r="I20" s="692">
        <f t="shared" si="6"/>
        <v>13834.832826633647</v>
      </c>
      <c r="J20" s="691">
        <f t="shared" si="7"/>
        <v>20344.498878863466</v>
      </c>
      <c r="K20" s="690">
        <f t="shared" si="8"/>
        <v>23102.52438810889</v>
      </c>
      <c r="L20" s="691">
        <f t="shared" si="9"/>
        <v>10989.272877308447</v>
      </c>
      <c r="M20" s="690">
        <f t="shared" si="10"/>
        <v>9072.2731292287463</v>
      </c>
      <c r="N20" s="690">
        <f t="shared" si="11"/>
        <v>8291.6742370209777</v>
      </c>
      <c r="O20" s="693">
        <f t="shared" si="12"/>
        <v>198839.73325000005</v>
      </c>
    </row>
    <row r="21" spans="1:15" ht="13.5" thickBot="1" x14ac:dyDescent="0.25">
      <c r="A21" s="663" t="s">
        <v>288</v>
      </c>
      <c r="B21" s="700">
        <v>5</v>
      </c>
      <c r="C21" s="690">
        <f t="shared" si="0"/>
        <v>25223.665980235208</v>
      </c>
      <c r="D21" s="691">
        <f t="shared" si="1"/>
        <v>29405.830708456204</v>
      </c>
      <c r="E21" s="690">
        <f t="shared" si="2"/>
        <v>40568.37754204822</v>
      </c>
      <c r="F21" s="691">
        <f t="shared" si="3"/>
        <v>-5312.0397009523349</v>
      </c>
      <c r="G21" s="690">
        <f t="shared" si="4"/>
        <v>10515.673148875381</v>
      </c>
      <c r="H21" s="690">
        <f t="shared" si="5"/>
        <v>12803.149234173179</v>
      </c>
      <c r="I21" s="692">
        <f t="shared" si="6"/>
        <v>13834.832826633647</v>
      </c>
      <c r="J21" s="691">
        <f t="shared" si="7"/>
        <v>20344.498878863466</v>
      </c>
      <c r="K21" s="690">
        <f t="shared" si="8"/>
        <v>23102.52438810889</v>
      </c>
      <c r="L21" s="691">
        <f t="shared" si="9"/>
        <v>10989.272877308447</v>
      </c>
      <c r="M21" s="690">
        <f t="shared" si="10"/>
        <v>9072.2731292287463</v>
      </c>
      <c r="N21" s="690">
        <f t="shared" si="11"/>
        <v>8291.6742370209777</v>
      </c>
      <c r="O21" s="693">
        <f t="shared" si="12"/>
        <v>198839.73325000005</v>
      </c>
    </row>
    <row r="22" spans="1:15" ht="13.5" thickBot="1" x14ac:dyDescent="0.25">
      <c r="A22" s="663" t="s">
        <v>289</v>
      </c>
      <c r="B22" s="700">
        <v>5</v>
      </c>
      <c r="C22" s="690">
        <f t="shared" si="0"/>
        <v>25223.665980235208</v>
      </c>
      <c r="D22" s="691">
        <f t="shared" si="1"/>
        <v>29405.830708456204</v>
      </c>
      <c r="E22" s="690">
        <f t="shared" si="2"/>
        <v>40568.37754204822</v>
      </c>
      <c r="F22" s="691">
        <f t="shared" si="3"/>
        <v>-5312.0397009523349</v>
      </c>
      <c r="G22" s="690">
        <f t="shared" si="4"/>
        <v>10515.673148875381</v>
      </c>
      <c r="H22" s="690">
        <f t="shared" si="5"/>
        <v>12803.149234173179</v>
      </c>
      <c r="I22" s="692">
        <f t="shared" si="6"/>
        <v>13834.832826633647</v>
      </c>
      <c r="J22" s="691">
        <f t="shared" si="7"/>
        <v>20344.498878863466</v>
      </c>
      <c r="K22" s="690">
        <f t="shared" si="8"/>
        <v>23102.52438810889</v>
      </c>
      <c r="L22" s="691">
        <f t="shared" si="9"/>
        <v>10989.272877308447</v>
      </c>
      <c r="M22" s="690">
        <f t="shared" si="10"/>
        <v>9072.2731292287463</v>
      </c>
      <c r="N22" s="690">
        <f t="shared" si="11"/>
        <v>8291.6742370209777</v>
      </c>
      <c r="O22" s="693">
        <f t="shared" si="12"/>
        <v>198839.73325000005</v>
      </c>
    </row>
    <row r="23" spans="1:15" ht="13.5" thickBot="1" x14ac:dyDescent="0.25">
      <c r="A23" s="663" t="s">
        <v>163</v>
      </c>
      <c r="B23" s="700">
        <v>5</v>
      </c>
      <c r="C23" s="690">
        <f t="shared" si="0"/>
        <v>25223.665980235208</v>
      </c>
      <c r="D23" s="691">
        <f t="shared" si="1"/>
        <v>29405.830708456204</v>
      </c>
      <c r="E23" s="690">
        <f t="shared" si="2"/>
        <v>40568.37754204822</v>
      </c>
      <c r="F23" s="691">
        <f t="shared" si="3"/>
        <v>-5312.0397009523349</v>
      </c>
      <c r="G23" s="690">
        <f t="shared" si="4"/>
        <v>10515.673148875381</v>
      </c>
      <c r="H23" s="690">
        <f t="shared" si="5"/>
        <v>12803.149234173179</v>
      </c>
      <c r="I23" s="692">
        <f t="shared" si="6"/>
        <v>13834.832826633647</v>
      </c>
      <c r="J23" s="691">
        <f t="shared" si="7"/>
        <v>20344.498878863466</v>
      </c>
      <c r="K23" s="690">
        <f t="shared" si="8"/>
        <v>23102.52438810889</v>
      </c>
      <c r="L23" s="691">
        <f t="shared" si="9"/>
        <v>10989.272877308447</v>
      </c>
      <c r="M23" s="690">
        <f t="shared" si="10"/>
        <v>9072.2731292287463</v>
      </c>
      <c r="N23" s="690">
        <f t="shared" si="11"/>
        <v>8291.6742370209777</v>
      </c>
      <c r="O23" s="693">
        <f t="shared" si="12"/>
        <v>198839.73325000005</v>
      </c>
    </row>
    <row r="24" spans="1:15" ht="13.5" thickBot="1" x14ac:dyDescent="0.25">
      <c r="A24" s="663" t="s">
        <v>164</v>
      </c>
      <c r="B24" s="700">
        <v>5</v>
      </c>
      <c r="C24" s="690">
        <f t="shared" si="0"/>
        <v>25223.665980235208</v>
      </c>
      <c r="D24" s="691">
        <f t="shared" si="1"/>
        <v>29405.830708456204</v>
      </c>
      <c r="E24" s="690">
        <f t="shared" si="2"/>
        <v>40568.37754204822</v>
      </c>
      <c r="F24" s="691">
        <f t="shared" si="3"/>
        <v>-5312.0397009523349</v>
      </c>
      <c r="G24" s="690">
        <f t="shared" si="4"/>
        <v>10515.673148875381</v>
      </c>
      <c r="H24" s="690">
        <f t="shared" si="5"/>
        <v>12803.149234173179</v>
      </c>
      <c r="I24" s="692">
        <f t="shared" si="6"/>
        <v>13834.832826633647</v>
      </c>
      <c r="J24" s="691">
        <f t="shared" si="7"/>
        <v>20344.498878863466</v>
      </c>
      <c r="K24" s="690">
        <f t="shared" si="8"/>
        <v>23102.52438810889</v>
      </c>
      <c r="L24" s="691">
        <f t="shared" si="9"/>
        <v>10989.272877308447</v>
      </c>
      <c r="M24" s="690">
        <f t="shared" si="10"/>
        <v>9072.2731292287463</v>
      </c>
      <c r="N24" s="690">
        <f t="shared" si="11"/>
        <v>8291.6742370209777</v>
      </c>
      <c r="O24" s="693">
        <f t="shared" si="12"/>
        <v>198839.73325000005</v>
      </c>
    </row>
    <row r="25" spans="1:15" ht="13.5" thickBot="1" x14ac:dyDescent="0.25">
      <c r="A25" s="663" t="s">
        <v>165</v>
      </c>
      <c r="B25" s="700">
        <v>5</v>
      </c>
      <c r="C25" s="690">
        <f t="shared" si="0"/>
        <v>25223.665980235208</v>
      </c>
      <c r="D25" s="691">
        <f t="shared" si="1"/>
        <v>29405.830708456204</v>
      </c>
      <c r="E25" s="690">
        <f t="shared" si="2"/>
        <v>40568.37754204822</v>
      </c>
      <c r="F25" s="691">
        <f t="shared" si="3"/>
        <v>-5312.0397009523349</v>
      </c>
      <c r="G25" s="690">
        <f t="shared" si="4"/>
        <v>10515.673148875381</v>
      </c>
      <c r="H25" s="690">
        <f t="shared" si="5"/>
        <v>12803.149234173179</v>
      </c>
      <c r="I25" s="692">
        <f t="shared" si="6"/>
        <v>13834.832826633647</v>
      </c>
      <c r="J25" s="691">
        <f t="shared" si="7"/>
        <v>20344.498878863466</v>
      </c>
      <c r="K25" s="690">
        <f t="shared" si="8"/>
        <v>23102.52438810889</v>
      </c>
      <c r="L25" s="691">
        <f t="shared" si="9"/>
        <v>10989.272877308447</v>
      </c>
      <c r="M25" s="690">
        <f t="shared" si="10"/>
        <v>9072.2731292287463</v>
      </c>
      <c r="N25" s="690">
        <f t="shared" si="11"/>
        <v>8291.6742370209777</v>
      </c>
      <c r="O25" s="693">
        <f t="shared" si="12"/>
        <v>198839.73325000005</v>
      </c>
    </row>
    <row r="26" spans="1:15" ht="13.5" thickBot="1" x14ac:dyDescent="0.25">
      <c r="A26" s="663" t="s">
        <v>166</v>
      </c>
      <c r="B26" s="700">
        <v>5</v>
      </c>
      <c r="C26" s="690">
        <f t="shared" si="0"/>
        <v>25223.665980235208</v>
      </c>
      <c r="D26" s="691">
        <f t="shared" si="1"/>
        <v>29405.830708456204</v>
      </c>
      <c r="E26" s="690">
        <f t="shared" si="2"/>
        <v>40568.37754204822</v>
      </c>
      <c r="F26" s="691">
        <f t="shared" si="3"/>
        <v>-5312.0397009523349</v>
      </c>
      <c r="G26" s="690">
        <f t="shared" si="4"/>
        <v>10515.673148875381</v>
      </c>
      <c r="H26" s="690">
        <f t="shared" si="5"/>
        <v>12803.149234173179</v>
      </c>
      <c r="I26" s="692">
        <f t="shared" si="6"/>
        <v>13834.832826633647</v>
      </c>
      <c r="J26" s="691">
        <f t="shared" si="7"/>
        <v>20344.498878863466</v>
      </c>
      <c r="K26" s="690">
        <f t="shared" si="8"/>
        <v>23102.52438810889</v>
      </c>
      <c r="L26" s="691">
        <f t="shared" si="9"/>
        <v>10989.272877308447</v>
      </c>
      <c r="M26" s="690">
        <f t="shared" si="10"/>
        <v>9072.2731292287463</v>
      </c>
      <c r="N26" s="690">
        <f t="shared" si="11"/>
        <v>8291.6742370209777</v>
      </c>
      <c r="O26" s="693">
        <f t="shared" si="12"/>
        <v>198839.73325000005</v>
      </c>
    </row>
    <row r="27" spans="1:15" ht="13.5" thickBot="1" x14ac:dyDescent="0.25">
      <c r="A27" s="668" t="s">
        <v>290</v>
      </c>
      <c r="B27" s="669">
        <f>SUM(B7:B26)</f>
        <v>100</v>
      </c>
      <c r="C27" s="698">
        <f>SUM(C7:C26)</f>
        <v>504473.31960470416</v>
      </c>
      <c r="D27" s="698">
        <f t="shared" ref="D27:O27" si="13">SUM(D7:D26)</f>
        <v>588116.61416912428</v>
      </c>
      <c r="E27" s="698">
        <f t="shared" si="13"/>
        <v>811367.55084096442</v>
      </c>
      <c r="F27" s="698">
        <f t="shared" si="13"/>
        <v>-106240.79401904668</v>
      </c>
      <c r="G27" s="698">
        <f t="shared" si="13"/>
        <v>210313.46297750768</v>
      </c>
      <c r="H27" s="698">
        <f t="shared" si="13"/>
        <v>256062.98468346358</v>
      </c>
      <c r="I27" s="698">
        <f t="shared" si="13"/>
        <v>276696.65653267293</v>
      </c>
      <c r="J27" s="698">
        <f t="shared" si="13"/>
        <v>406889.97757726931</v>
      </c>
      <c r="K27" s="698">
        <f t="shared" si="13"/>
        <v>462050.48776217765</v>
      </c>
      <c r="L27" s="698">
        <f t="shared" si="13"/>
        <v>219785.45754616903</v>
      </c>
      <c r="M27" s="698">
        <f t="shared" si="13"/>
        <v>181445.46258457491</v>
      </c>
      <c r="N27" s="698">
        <f t="shared" si="13"/>
        <v>165833.4847404196</v>
      </c>
      <c r="O27" s="698">
        <f t="shared" si="13"/>
        <v>3976794.665000001</v>
      </c>
    </row>
    <row r="28" spans="1:15" hidden="1" x14ac:dyDescent="0.2">
      <c r="A28" s="679" t="s">
        <v>355</v>
      </c>
      <c r="B28" s="679"/>
      <c r="C28" s="680">
        <f>'[4]PRESUPUSTO ESTATAL 2017'!B52</f>
        <v>1521250.4468291907</v>
      </c>
      <c r="D28" s="680">
        <f>'[4]PRESUPUSTO ESTATAL 2017'!C52</f>
        <v>1992155.4322061262</v>
      </c>
      <c r="E28" s="680">
        <f>'[4]PRESUPUSTO ESTATAL 2017'!D52</f>
        <v>1561223.5204092669</v>
      </c>
      <c r="F28" s="680">
        <f>'[4]PRESUPUSTO ESTATAL 2017'!E52</f>
        <v>1709133.4840227321</v>
      </c>
      <c r="G28" s="680">
        <f>'[4]PRESUPUSTO ESTATAL 2017'!F52</f>
        <v>1794276.5472658337</v>
      </c>
      <c r="H28" s="680">
        <f>'[4]PRESUPUSTO ESTATAL 2017'!G52</f>
        <v>1664193.9164477964</v>
      </c>
      <c r="I28" s="680">
        <f>'[4]PRESUPUSTO ESTATAL 2017'!H52</f>
        <v>1722567.8942233375</v>
      </c>
      <c r="J28" s="680">
        <f>'[4]PRESUPUSTO ESTATAL 2017'!I52</f>
        <v>1774773.0179705636</v>
      </c>
      <c r="K28" s="680">
        <f>'[4]PRESUPUSTO ESTATAL 2017'!J52</f>
        <v>1814273.0193366187</v>
      </c>
      <c r="L28" s="680">
        <f>'[4]PRESUPUSTO ESTATAL 2017'!K52</f>
        <v>1772942.0603667807</v>
      </c>
      <c r="M28" s="680">
        <f>'[4]PRESUPUSTO ESTATAL 2017'!L52</f>
        <v>1696337.0334839264</v>
      </c>
      <c r="N28" s="680">
        <f>'[4]PRESUPUSTO ESTATAL 2017'!M52</f>
        <v>1676873.6274378267</v>
      </c>
      <c r="O28" s="680">
        <f>SUM(C28:N28)</f>
        <v>20700000</v>
      </c>
    </row>
    <row r="29" spans="1:15" hidden="1" x14ac:dyDescent="0.2">
      <c r="A29" s="681" t="s">
        <v>356</v>
      </c>
      <c r="B29" s="681"/>
      <c r="C29" s="682">
        <f>C28-C27</f>
        <v>1016777.1272244866</v>
      </c>
      <c r="D29" s="682">
        <f t="shared" ref="D29:O29" si="14">D28-D27</f>
        <v>1404038.8180370019</v>
      </c>
      <c r="E29" s="682">
        <f t="shared" si="14"/>
        <v>749855.96956830251</v>
      </c>
      <c r="F29" s="682">
        <f t="shared" si="14"/>
        <v>1815374.2780417788</v>
      </c>
      <c r="G29" s="682">
        <f t="shared" si="14"/>
        <v>1583963.0842883261</v>
      </c>
      <c r="H29" s="682">
        <f t="shared" si="14"/>
        <v>1408130.9317643328</v>
      </c>
      <c r="I29" s="682">
        <f t="shared" si="14"/>
        <v>1445871.2376906646</v>
      </c>
      <c r="J29" s="682">
        <f t="shared" si="14"/>
        <v>1367883.0403932943</v>
      </c>
      <c r="K29" s="682">
        <f t="shared" si="14"/>
        <v>1352222.5315744411</v>
      </c>
      <c r="L29" s="682">
        <f t="shared" si="14"/>
        <v>1553156.6028206118</v>
      </c>
      <c r="M29" s="682">
        <f t="shared" si="14"/>
        <v>1514891.5708993515</v>
      </c>
      <c r="N29" s="682">
        <f t="shared" si="14"/>
        <v>1511040.1426974072</v>
      </c>
      <c r="O29" s="682">
        <f t="shared" si="14"/>
        <v>16723205.334999999</v>
      </c>
    </row>
    <row r="30" spans="1:15" x14ac:dyDescent="0.2">
      <c r="A30" s="672" t="s">
        <v>291</v>
      </c>
    </row>
    <row r="32" spans="1:15" x14ac:dyDescent="0.2">
      <c r="A32" s="658" t="s">
        <v>356</v>
      </c>
      <c r="C32" s="699">
        <f>'X22.55 POE'!B40</f>
        <v>504473.31960470416</v>
      </c>
      <c r="D32" s="699">
        <f>'X22.55 POE'!C40</f>
        <v>588116.61416912405</v>
      </c>
      <c r="E32" s="699">
        <f>'X22.55 POE'!D40</f>
        <v>811367.55084096431</v>
      </c>
      <c r="F32" s="699">
        <f>'X22.55 POE'!E40</f>
        <v>-106240.79401904671</v>
      </c>
      <c r="G32" s="699">
        <f>'X22.55 POE'!F40</f>
        <v>210313.46297750762</v>
      </c>
      <c r="H32" s="699">
        <f>'X22.55 POE'!G40</f>
        <v>256062.98468346358</v>
      </c>
      <c r="I32" s="699">
        <f>'X22.55 POE'!H40</f>
        <v>276696.65653267293</v>
      </c>
      <c r="J32" s="699">
        <f>'X22.55 POE'!I40</f>
        <v>406889.97757726931</v>
      </c>
      <c r="K32" s="699">
        <f>'X22.55 POE'!J40</f>
        <v>462050.48776217783</v>
      </c>
      <c r="L32" s="699">
        <f>'X22.55 POE'!K40</f>
        <v>219785.45754616894</v>
      </c>
      <c r="M32" s="699">
        <f>'X22.55 POE'!L40</f>
        <v>181445.46258457494</v>
      </c>
      <c r="N32" s="699">
        <f>'X22.55 POE'!M40</f>
        <v>165833.48474041955</v>
      </c>
      <c r="O32" s="699">
        <f>SUM(C32:N32)</f>
        <v>3976794.665</v>
      </c>
    </row>
    <row r="34" spans="3:15" x14ac:dyDescent="0.2">
      <c r="C34" s="667"/>
      <c r="D34" s="667"/>
      <c r="E34" s="667"/>
      <c r="F34" s="667"/>
      <c r="G34" s="667"/>
      <c r="H34" s="667"/>
      <c r="I34" s="667"/>
      <c r="J34" s="667"/>
      <c r="K34" s="667"/>
      <c r="L34" s="667"/>
      <c r="M34" s="667"/>
      <c r="N34" s="667"/>
      <c r="O34" s="667"/>
    </row>
    <row r="38" spans="3:15" x14ac:dyDescent="0.2">
      <c r="K38" s="667"/>
    </row>
  </sheetData>
  <mergeCells count="4">
    <mergeCell ref="A1:O1"/>
    <mergeCell ref="A2:O2"/>
    <mergeCell ref="A3:O3"/>
    <mergeCell ref="A4:O4"/>
  </mergeCells>
  <pageMargins left="0.75" right="0.75" top="1" bottom="1" header="0" footer="0"/>
  <pageSetup paperSize="5" scale="95" orientation="landscape"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tabColor theme="7" tint="0.39997558519241921"/>
  </sheetPr>
  <dimension ref="A1:O38"/>
  <sheetViews>
    <sheetView topLeftCell="A7" workbookViewId="0">
      <selection sqref="A1:O1"/>
    </sheetView>
  </sheetViews>
  <sheetFormatPr baseColWidth="10" defaultRowHeight="12.75" x14ac:dyDescent="0.2"/>
  <cols>
    <col min="1" max="1" width="16.85546875" style="658" customWidth="1"/>
    <col min="2" max="2" width="9.28515625" style="658" bestFit="1" customWidth="1"/>
    <col min="3" max="3" width="12" style="658" bestFit="1" customWidth="1"/>
    <col min="4" max="8" width="11.7109375" style="658" bestFit="1" customWidth="1"/>
    <col min="9" max="10" width="12" style="658" bestFit="1" customWidth="1"/>
    <col min="11" max="11" width="15.5703125" style="658" bestFit="1" customWidth="1"/>
    <col min="12" max="14" width="12" style="658" bestFit="1" customWidth="1"/>
    <col min="15" max="15" width="13.140625" style="658" bestFit="1" customWidth="1"/>
    <col min="16" max="16384" width="11.42578125" style="658"/>
  </cols>
  <sheetData>
    <row r="1" spans="1:15" ht="15.75" x14ac:dyDescent="0.25">
      <c r="A1" s="1019" t="s">
        <v>279</v>
      </c>
      <c r="B1" s="1019"/>
      <c r="C1" s="1019"/>
      <c r="D1" s="1019"/>
      <c r="E1" s="1019"/>
      <c r="F1" s="1019"/>
      <c r="G1" s="1019"/>
      <c r="H1" s="1019"/>
      <c r="I1" s="1019"/>
      <c r="J1" s="1019"/>
      <c r="K1" s="1019"/>
      <c r="L1" s="1019"/>
      <c r="M1" s="1019"/>
      <c r="N1" s="1019"/>
      <c r="O1" s="1019"/>
    </row>
    <row r="2" spans="1:15" x14ac:dyDescent="0.2">
      <c r="A2" s="1020" t="s">
        <v>280</v>
      </c>
      <c r="B2" s="1020"/>
      <c r="C2" s="1020"/>
      <c r="D2" s="1020"/>
      <c r="E2" s="1020"/>
      <c r="F2" s="1020"/>
      <c r="G2" s="1020"/>
      <c r="H2" s="1020"/>
      <c r="I2" s="1020"/>
      <c r="J2" s="1020"/>
      <c r="K2" s="1020"/>
      <c r="L2" s="1020"/>
      <c r="M2" s="1020"/>
      <c r="N2" s="1020"/>
      <c r="O2" s="1020"/>
    </row>
    <row r="3" spans="1:15" x14ac:dyDescent="0.2">
      <c r="A3" s="1020" t="s">
        <v>281</v>
      </c>
      <c r="B3" s="1020"/>
      <c r="C3" s="1020"/>
      <c r="D3" s="1020"/>
      <c r="E3" s="1020"/>
      <c r="F3" s="1020"/>
      <c r="G3" s="1020"/>
      <c r="H3" s="1020"/>
      <c r="I3" s="1020"/>
      <c r="J3" s="1020"/>
      <c r="K3" s="1020"/>
      <c r="L3" s="1020"/>
      <c r="M3" s="1020"/>
      <c r="N3" s="1020"/>
      <c r="O3" s="1020"/>
    </row>
    <row r="4" spans="1:15" x14ac:dyDescent="0.2">
      <c r="A4" s="1021" t="s">
        <v>365</v>
      </c>
      <c r="B4" s="1021"/>
      <c r="C4" s="1021"/>
      <c r="D4" s="1021"/>
      <c r="E4" s="1021"/>
      <c r="F4" s="1021"/>
      <c r="G4" s="1021"/>
      <c r="H4" s="1021"/>
      <c r="I4" s="1021"/>
      <c r="J4" s="1021"/>
      <c r="K4" s="1021"/>
      <c r="L4" s="1021"/>
      <c r="M4" s="1021"/>
      <c r="N4" s="1021"/>
      <c r="O4" s="1021"/>
    </row>
    <row r="5" spans="1:15" ht="13.5" thickBot="1" x14ac:dyDescent="0.25"/>
    <row r="6" spans="1:15" ht="23.25" thickBot="1" x14ac:dyDescent="0.25">
      <c r="A6" s="659" t="s">
        <v>351</v>
      </c>
      <c r="B6" s="660" t="s">
        <v>283</v>
      </c>
      <c r="C6" s="659" t="s">
        <v>1</v>
      </c>
      <c r="D6" s="661" t="s">
        <v>2</v>
      </c>
      <c r="E6" s="659" t="s">
        <v>3</v>
      </c>
      <c r="F6" s="661" t="s">
        <v>4</v>
      </c>
      <c r="G6" s="659" t="s">
        <v>5</v>
      </c>
      <c r="H6" s="659" t="s">
        <v>6</v>
      </c>
      <c r="I6" s="659" t="s">
        <v>7</v>
      </c>
      <c r="J6" s="661" t="s">
        <v>8</v>
      </c>
      <c r="K6" s="659" t="s">
        <v>9</v>
      </c>
      <c r="L6" s="661" t="s">
        <v>10</v>
      </c>
      <c r="M6" s="659" t="s">
        <v>11</v>
      </c>
      <c r="N6" s="659" t="s">
        <v>12</v>
      </c>
      <c r="O6" s="662" t="s">
        <v>169</v>
      </c>
    </row>
    <row r="7" spans="1:15" x14ac:dyDescent="0.2">
      <c r="A7" s="663" t="s">
        <v>284</v>
      </c>
      <c r="B7" s="674">
        <v>3.9399999999999998E-2</v>
      </c>
      <c r="C7" s="690">
        <v>56963.546951054755</v>
      </c>
      <c r="D7" s="691">
        <v>86906.697217008536</v>
      </c>
      <c r="E7" s="690">
        <v>59746.246585840105</v>
      </c>
      <c r="F7" s="691">
        <v>67867.982827057887</v>
      </c>
      <c r="G7" s="690">
        <v>64660.762935787861</v>
      </c>
      <c r="H7" s="690">
        <v>67599.96159390721</v>
      </c>
      <c r="I7" s="692">
        <v>68696.572300394633</v>
      </c>
      <c r="J7" s="691">
        <v>71269.225402021868</v>
      </c>
      <c r="K7" s="690">
        <v>68949.326174828399</v>
      </c>
      <c r="L7" s="691">
        <v>67391.350673871697</v>
      </c>
      <c r="M7" s="690">
        <v>65860.428313614349</v>
      </c>
      <c r="N7" s="690">
        <v>66121.899024612852</v>
      </c>
      <c r="O7" s="693">
        <f>SUM(C7:N7)</f>
        <v>812034</v>
      </c>
    </row>
    <row r="8" spans="1:15" x14ac:dyDescent="0.2">
      <c r="A8" s="663" t="s">
        <v>148</v>
      </c>
      <c r="B8" s="675">
        <v>5.7799999999999997E-2</v>
      </c>
      <c r="C8" s="690">
        <v>83565.812532257987</v>
      </c>
      <c r="D8" s="691">
        <v>127492.56596809882</v>
      </c>
      <c r="E8" s="690">
        <v>87648.047021866951</v>
      </c>
      <c r="F8" s="691">
        <v>99562.675314820954</v>
      </c>
      <c r="G8" s="690">
        <v>94857.667454023816</v>
      </c>
      <c r="H8" s="690">
        <v>99169.486805275053</v>
      </c>
      <c r="I8" s="690">
        <v>100778.22027824391</v>
      </c>
      <c r="J8" s="691">
        <v>104552.31543748386</v>
      </c>
      <c r="K8" s="690">
        <v>101149.01149505284</v>
      </c>
      <c r="L8" s="691">
        <v>98863.453526644254</v>
      </c>
      <c r="M8" s="690">
        <v>96617.582652967249</v>
      </c>
      <c r="N8" s="690">
        <v>97001.161513264538</v>
      </c>
      <c r="O8" s="693">
        <f t="shared" ref="O8:O26" si="0">SUM(C8:N8)</f>
        <v>1191258.0000000002</v>
      </c>
    </row>
    <row r="9" spans="1:15" x14ac:dyDescent="0.2">
      <c r="A9" s="663" t="s">
        <v>149</v>
      </c>
      <c r="B9" s="675">
        <v>6.1199999999999997E-2</v>
      </c>
      <c r="C9" s="690">
        <v>88481.44856356729</v>
      </c>
      <c r="D9" s="691">
        <v>134992.12867210462</v>
      </c>
      <c r="E9" s="690">
        <v>92803.814493741476</v>
      </c>
      <c r="F9" s="691">
        <v>105419.30327451631</v>
      </c>
      <c r="G9" s="690">
        <v>100437.53024543698</v>
      </c>
      <c r="H9" s="690">
        <v>105002.98602911476</v>
      </c>
      <c r="I9" s="690">
        <v>106706.3508828465</v>
      </c>
      <c r="J9" s="691">
        <v>110702.45163968879</v>
      </c>
      <c r="K9" s="690">
        <v>107098.95334770301</v>
      </c>
      <c r="L9" s="691">
        <v>104678.95079291746</v>
      </c>
      <c r="M9" s="690">
        <v>102300.96986784769</v>
      </c>
      <c r="N9" s="690">
        <v>102707.1121905154</v>
      </c>
      <c r="O9" s="693">
        <f t="shared" si="0"/>
        <v>1261332.0000000005</v>
      </c>
    </row>
    <row r="10" spans="1:15" x14ac:dyDescent="0.2">
      <c r="A10" s="663" t="s">
        <v>285</v>
      </c>
      <c r="B10" s="675">
        <v>5.0799999999999998E-2</v>
      </c>
      <c r="C10" s="690">
        <v>73445.385408974151</v>
      </c>
      <c r="D10" s="691">
        <v>112052.28981279273</v>
      </c>
      <c r="E10" s="690">
        <v>77033.231638595869</v>
      </c>
      <c r="F10" s="691">
        <v>87504.911868389361</v>
      </c>
      <c r="G10" s="690">
        <v>83369.714648173191</v>
      </c>
      <c r="H10" s="690">
        <v>87159.341344428598</v>
      </c>
      <c r="I10" s="690">
        <v>88573.245504062128</v>
      </c>
      <c r="J10" s="691">
        <v>91890.270315297239</v>
      </c>
      <c r="K10" s="690">
        <v>88899.131210184845</v>
      </c>
      <c r="L10" s="691">
        <v>86890.370919611218</v>
      </c>
      <c r="M10" s="690">
        <v>84916.491328213437</v>
      </c>
      <c r="N10" s="690">
        <v>85253.616001277493</v>
      </c>
      <c r="O10" s="693">
        <f t="shared" si="0"/>
        <v>1046988.0000000002</v>
      </c>
    </row>
    <row r="11" spans="1:15" x14ac:dyDescent="0.2">
      <c r="A11" s="663" t="s">
        <v>151</v>
      </c>
      <c r="B11" s="675">
        <v>3.0700000000000002E-2</v>
      </c>
      <c r="C11" s="690">
        <v>44385.301812116275</v>
      </c>
      <c r="D11" s="691">
        <v>67716.63970969955</v>
      </c>
      <c r="E11" s="690">
        <v>46553.54746663176</v>
      </c>
      <c r="F11" s="691">
        <v>52881.905400778611</v>
      </c>
      <c r="G11" s="690">
        <v>50382.878734230646</v>
      </c>
      <c r="H11" s="690">
        <v>52673.066521140907</v>
      </c>
      <c r="I11" s="690">
        <v>53527.532223911563</v>
      </c>
      <c r="J11" s="691">
        <v>55532.112178732787</v>
      </c>
      <c r="K11" s="690">
        <v>53724.474963635337</v>
      </c>
      <c r="L11" s="691">
        <v>52510.519433702058</v>
      </c>
      <c r="M11" s="690">
        <v>51317.643381420326</v>
      </c>
      <c r="N11" s="690">
        <v>51521.378174000376</v>
      </c>
      <c r="O11" s="693">
        <f t="shared" si="0"/>
        <v>632727.00000000023</v>
      </c>
    </row>
    <row r="12" spans="1:15" x14ac:dyDescent="0.2">
      <c r="A12" s="663" t="s">
        <v>286</v>
      </c>
      <c r="B12" s="675">
        <v>9.5100000000000004E-2</v>
      </c>
      <c r="C12" s="690">
        <v>137493.23134632761</v>
      </c>
      <c r="D12" s="691">
        <v>209767.18033851555</v>
      </c>
      <c r="E12" s="690">
        <v>144209.84899272575</v>
      </c>
      <c r="F12" s="691">
        <v>163813.32910794936</v>
      </c>
      <c r="G12" s="690">
        <v>156072.0445480565</v>
      </c>
      <c r="H12" s="690">
        <v>163166.40476092836</v>
      </c>
      <c r="I12" s="690">
        <v>165813.30014638402</v>
      </c>
      <c r="J12" s="691">
        <v>172022.92730284977</v>
      </c>
      <c r="K12" s="690">
        <v>166423.37358442086</v>
      </c>
      <c r="L12" s="691">
        <v>162662.87941840605</v>
      </c>
      <c r="M12" s="690">
        <v>158967.68356915549</v>
      </c>
      <c r="N12" s="690">
        <v>159598.7968842813</v>
      </c>
      <c r="O12" s="693">
        <f t="shared" si="0"/>
        <v>1960011.0000000005</v>
      </c>
    </row>
    <row r="13" spans="1:15" x14ac:dyDescent="0.2">
      <c r="A13" s="663" t="s">
        <v>153</v>
      </c>
      <c r="B13" s="675">
        <v>9.3299999999999994E-2</v>
      </c>
      <c r="C13" s="690">
        <v>134890.83580034031</v>
      </c>
      <c r="D13" s="691">
        <v>205796.82361286538</v>
      </c>
      <c r="E13" s="690">
        <v>141480.32503702745</v>
      </c>
      <c r="F13" s="691">
        <v>160712.76136458124</v>
      </c>
      <c r="G13" s="690">
        <v>153117.99954083774</v>
      </c>
      <c r="H13" s="690">
        <v>160078.08164242495</v>
      </c>
      <c r="I13" s="690">
        <v>162674.87806159441</v>
      </c>
      <c r="J13" s="691">
        <v>168766.9728428589</v>
      </c>
      <c r="K13" s="690">
        <v>163273.40436831192</v>
      </c>
      <c r="L13" s="691">
        <v>159584.08674802611</v>
      </c>
      <c r="M13" s="690">
        <v>155958.83151421876</v>
      </c>
      <c r="N13" s="690">
        <v>156577.99946691317</v>
      </c>
      <c r="O13" s="693">
        <f t="shared" si="0"/>
        <v>1922913.0000000005</v>
      </c>
    </row>
    <row r="14" spans="1:15" x14ac:dyDescent="0.2">
      <c r="A14" s="663" t="s">
        <v>154</v>
      </c>
      <c r="B14" s="675">
        <v>4.5199999999999997E-2</v>
      </c>
      <c r="C14" s="690">
        <v>65349.043710347076</v>
      </c>
      <c r="D14" s="691">
        <v>99700.068888547859</v>
      </c>
      <c r="E14" s="690">
        <v>68541.379331978998</v>
      </c>
      <c r="F14" s="691">
        <v>77858.701111244067</v>
      </c>
      <c r="G14" s="690">
        <v>74179.352403492667</v>
      </c>
      <c r="H14" s="690">
        <v>77551.224975751422</v>
      </c>
      <c r="I14" s="690">
        <v>78809.265684716695</v>
      </c>
      <c r="J14" s="691">
        <v>81760.634217547937</v>
      </c>
      <c r="K14" s="690">
        <v>79099.226982290449</v>
      </c>
      <c r="L14" s="691">
        <v>77311.90483398478</v>
      </c>
      <c r="M14" s="690">
        <v>75555.618268410384</v>
      </c>
      <c r="N14" s="690">
        <v>75855.579591687841</v>
      </c>
      <c r="O14" s="693">
        <f t="shared" si="0"/>
        <v>931572.00000000035</v>
      </c>
    </row>
    <row r="15" spans="1:15" x14ac:dyDescent="0.2">
      <c r="A15" s="663" t="s">
        <v>155</v>
      </c>
      <c r="B15" s="675">
        <v>5.0799999999999998E-2</v>
      </c>
      <c r="C15" s="690">
        <v>73445.385408974151</v>
      </c>
      <c r="D15" s="691">
        <v>112052.28981279273</v>
      </c>
      <c r="E15" s="690">
        <v>77033.231638595869</v>
      </c>
      <c r="F15" s="691">
        <v>87504.911868389361</v>
      </c>
      <c r="G15" s="690">
        <v>83369.714648173191</v>
      </c>
      <c r="H15" s="690">
        <v>87159.341344428598</v>
      </c>
      <c r="I15" s="690">
        <v>88573.245504062128</v>
      </c>
      <c r="J15" s="691">
        <v>91890.270315297239</v>
      </c>
      <c r="K15" s="690">
        <v>88899.131210184845</v>
      </c>
      <c r="L15" s="691">
        <v>86890.370919611218</v>
      </c>
      <c r="M15" s="690">
        <v>84916.491328213437</v>
      </c>
      <c r="N15" s="690">
        <v>85253.616001277493</v>
      </c>
      <c r="O15" s="693">
        <f t="shared" si="0"/>
        <v>1046988.0000000002</v>
      </c>
    </row>
    <row r="16" spans="1:15" x14ac:dyDescent="0.2">
      <c r="A16" s="663" t="s">
        <v>156</v>
      </c>
      <c r="B16" s="675">
        <v>8.9200000000000002E-2</v>
      </c>
      <c r="C16" s="690">
        <v>128963.15705670265</v>
      </c>
      <c r="D16" s="691">
        <v>196753.23329332899</v>
      </c>
      <c r="E16" s="690">
        <v>135263.07602682582</v>
      </c>
      <c r="F16" s="691">
        <v>153650.35706024274</v>
      </c>
      <c r="G16" s="690">
        <v>146389.34146883953</v>
      </c>
      <c r="H16" s="690">
        <v>153043.5678725006</v>
      </c>
      <c r="I16" s="690">
        <v>155526.24997957365</v>
      </c>
      <c r="J16" s="691">
        <v>161350.6321284353</v>
      </c>
      <c r="K16" s="690">
        <v>156098.47448717497</v>
      </c>
      <c r="L16" s="691">
        <v>152571.28122104963</v>
      </c>
      <c r="M16" s="690">
        <v>149105.33516686296</v>
      </c>
      <c r="N16" s="690">
        <v>149697.29423846363</v>
      </c>
      <c r="O16" s="693">
        <f t="shared" si="0"/>
        <v>1838412.0000000005</v>
      </c>
    </row>
    <row r="17" spans="1:15" x14ac:dyDescent="0.2">
      <c r="A17" s="663" t="s">
        <v>157</v>
      </c>
      <c r="B17" s="675">
        <v>5.0200000000000002E-2</v>
      </c>
      <c r="C17" s="690">
        <v>72577.9202269784</v>
      </c>
      <c r="D17" s="691">
        <v>110728.83757090935</v>
      </c>
      <c r="E17" s="690">
        <v>76123.390320029779</v>
      </c>
      <c r="F17" s="691">
        <v>86471.389287266647</v>
      </c>
      <c r="G17" s="690">
        <v>82385.032979100273</v>
      </c>
      <c r="H17" s="690">
        <v>86129.900304927476</v>
      </c>
      <c r="I17" s="690">
        <v>87527.104809132259</v>
      </c>
      <c r="J17" s="691">
        <v>90804.952161966954</v>
      </c>
      <c r="K17" s="690">
        <v>87849.141471481882</v>
      </c>
      <c r="L17" s="691">
        <v>85864.106696151255</v>
      </c>
      <c r="M17" s="690">
        <v>83913.540643234548</v>
      </c>
      <c r="N17" s="690">
        <v>84246.683528821464</v>
      </c>
      <c r="O17" s="693">
        <f t="shared" si="0"/>
        <v>1034622.0000000002</v>
      </c>
    </row>
    <row r="18" spans="1:15" x14ac:dyDescent="0.2">
      <c r="A18" s="663" t="s">
        <v>158</v>
      </c>
      <c r="B18" s="675">
        <v>4.2900000000000001E-2</v>
      </c>
      <c r="C18" s="690">
        <v>62023.760512696681</v>
      </c>
      <c r="D18" s="691">
        <v>94626.835294661578</v>
      </c>
      <c r="E18" s="690">
        <v>65053.654277475653</v>
      </c>
      <c r="F18" s="691">
        <v>73896.864550273691</v>
      </c>
      <c r="G18" s="690">
        <v>70404.739338713189</v>
      </c>
      <c r="H18" s="690">
        <v>73605.034324330452</v>
      </c>
      <c r="I18" s="690">
        <v>74799.05968748554</v>
      </c>
      <c r="J18" s="691">
        <v>77600.247963115195</v>
      </c>
      <c r="K18" s="690">
        <v>75074.266317262402</v>
      </c>
      <c r="L18" s="691">
        <v>73377.891977388223</v>
      </c>
      <c r="M18" s="690">
        <v>71710.973975991277</v>
      </c>
      <c r="N18" s="690">
        <v>71995.671780606383</v>
      </c>
      <c r="O18" s="693">
        <f t="shared" si="0"/>
        <v>884169.00000000023</v>
      </c>
    </row>
    <row r="19" spans="1:15" x14ac:dyDescent="0.2">
      <c r="A19" s="663" t="s">
        <v>159</v>
      </c>
      <c r="B19" s="675">
        <v>3.04E-2</v>
      </c>
      <c r="C19" s="690">
        <v>43951.569221118392</v>
      </c>
      <c r="D19" s="691">
        <v>67054.91358875786</v>
      </c>
      <c r="E19" s="690">
        <v>46098.626807348708</v>
      </c>
      <c r="F19" s="691">
        <v>52365.144110217254</v>
      </c>
      <c r="G19" s="690">
        <v>49890.537899694187</v>
      </c>
      <c r="H19" s="690">
        <v>52158.346001390346</v>
      </c>
      <c r="I19" s="690">
        <v>53004.461876446629</v>
      </c>
      <c r="J19" s="691">
        <v>54989.453102067637</v>
      </c>
      <c r="K19" s="690">
        <v>53199.480094283848</v>
      </c>
      <c r="L19" s="691">
        <v>51997.38732197207</v>
      </c>
      <c r="M19" s="690">
        <v>50816.168038930875</v>
      </c>
      <c r="N19" s="690">
        <v>51017.911937772355</v>
      </c>
      <c r="O19" s="693">
        <f t="shared" si="0"/>
        <v>626544.00000000023</v>
      </c>
    </row>
    <row r="20" spans="1:15" x14ac:dyDescent="0.2">
      <c r="A20" s="663" t="s">
        <v>287</v>
      </c>
      <c r="B20" s="675">
        <v>6.7000000000000004E-2</v>
      </c>
      <c r="C20" s="690">
        <v>96866.94532285961</v>
      </c>
      <c r="D20" s="691">
        <v>147785.50034364397</v>
      </c>
      <c r="E20" s="690">
        <v>101598.94723988039</v>
      </c>
      <c r="F20" s="691">
        <v>115410.02155870252</v>
      </c>
      <c r="G20" s="690">
        <v>109956.1197131418</v>
      </c>
      <c r="H20" s="690">
        <v>114954.24941095899</v>
      </c>
      <c r="I20" s="690">
        <v>116819.04426716856</v>
      </c>
      <c r="J20" s="691">
        <v>121193.86045521488</v>
      </c>
      <c r="K20" s="690">
        <v>117248.85415516507</v>
      </c>
      <c r="L20" s="691">
        <v>114599.50495303056</v>
      </c>
      <c r="M20" s="690">
        <v>111996.15982264372</v>
      </c>
      <c r="N20" s="690">
        <v>112440.7927575904</v>
      </c>
      <c r="O20" s="693">
        <f t="shared" si="0"/>
        <v>1380870.0000000002</v>
      </c>
    </row>
    <row r="21" spans="1:15" x14ac:dyDescent="0.2">
      <c r="A21" s="663" t="s">
        <v>288</v>
      </c>
      <c r="B21" s="675">
        <v>5.0799999999999998E-2</v>
      </c>
      <c r="C21" s="690">
        <v>73445.385408974151</v>
      </c>
      <c r="D21" s="691">
        <v>112052.28981279273</v>
      </c>
      <c r="E21" s="690">
        <v>77033.231638595869</v>
      </c>
      <c r="F21" s="691">
        <v>87504.911868389361</v>
      </c>
      <c r="G21" s="690">
        <v>83369.714648173191</v>
      </c>
      <c r="H21" s="690">
        <v>87159.341344428598</v>
      </c>
      <c r="I21" s="690">
        <v>88573.245504062128</v>
      </c>
      <c r="J21" s="691">
        <v>91890.270315297239</v>
      </c>
      <c r="K21" s="690">
        <v>88899.131210184845</v>
      </c>
      <c r="L21" s="691">
        <v>86890.370919611218</v>
      </c>
      <c r="M21" s="690">
        <v>84916.491328213437</v>
      </c>
      <c r="N21" s="690">
        <v>85253.616001277493</v>
      </c>
      <c r="O21" s="693">
        <f t="shared" si="0"/>
        <v>1046988.0000000002</v>
      </c>
    </row>
    <row r="22" spans="1:15" x14ac:dyDescent="0.2">
      <c r="A22" s="663" t="s">
        <v>289</v>
      </c>
      <c r="B22" s="675">
        <v>1.7000000000000001E-2</v>
      </c>
      <c r="C22" s="690">
        <v>24578.18015654647</v>
      </c>
      <c r="D22" s="691">
        <v>37497.813520029071</v>
      </c>
      <c r="E22" s="690">
        <v>25778.837359372636</v>
      </c>
      <c r="F22" s="691">
        <v>29283.139798476757</v>
      </c>
      <c r="G22" s="690">
        <v>27899.313957065831</v>
      </c>
      <c r="H22" s="690">
        <v>29167.496119198549</v>
      </c>
      <c r="I22" s="690">
        <v>29640.653023012917</v>
      </c>
      <c r="J22" s="691">
        <v>30750.68101102467</v>
      </c>
      <c r="K22" s="690">
        <v>29749.709263250839</v>
      </c>
      <c r="L22" s="691">
        <v>29077.486331365963</v>
      </c>
      <c r="M22" s="690">
        <v>28416.936074402136</v>
      </c>
      <c r="N22" s="690">
        <v>28529.75338625428</v>
      </c>
      <c r="O22" s="693">
        <f t="shared" si="0"/>
        <v>350370.00000000012</v>
      </c>
    </row>
    <row r="23" spans="1:15" x14ac:dyDescent="0.2">
      <c r="A23" s="663" t="s">
        <v>163</v>
      </c>
      <c r="B23" s="675">
        <v>4.0800000000000003E-2</v>
      </c>
      <c r="C23" s="690">
        <v>58987.632375711531</v>
      </c>
      <c r="D23" s="691">
        <v>89994.752448069761</v>
      </c>
      <c r="E23" s="690">
        <v>61869.20966249433</v>
      </c>
      <c r="F23" s="691">
        <v>70279.535516344215</v>
      </c>
      <c r="G23" s="690">
        <v>66958.353496957992</v>
      </c>
      <c r="H23" s="690">
        <v>70001.990686076519</v>
      </c>
      <c r="I23" s="690">
        <v>71137.567255230999</v>
      </c>
      <c r="J23" s="691">
        <v>73801.634426459204</v>
      </c>
      <c r="K23" s="690">
        <v>71399.302231802008</v>
      </c>
      <c r="L23" s="691">
        <v>69785.96719527831</v>
      </c>
      <c r="M23" s="690">
        <v>68200.646578565123</v>
      </c>
      <c r="N23" s="690">
        <v>68471.408127010276</v>
      </c>
      <c r="O23" s="693">
        <f t="shared" si="0"/>
        <v>840888.00000000023</v>
      </c>
    </row>
    <row r="24" spans="1:15" x14ac:dyDescent="0.2">
      <c r="A24" s="663" t="s">
        <v>164</v>
      </c>
      <c r="B24" s="675">
        <v>3.7000000000000002E-3</v>
      </c>
      <c r="C24" s="690">
        <v>5349.3686223071727</v>
      </c>
      <c r="D24" s="691">
        <v>8161.2888249475027</v>
      </c>
      <c r="E24" s="690">
        <v>5610.6881311575735</v>
      </c>
      <c r="F24" s="691">
        <v>6373.389250256706</v>
      </c>
      <c r="G24" s="690">
        <v>6072.2036259496217</v>
      </c>
      <c r="H24" s="690">
        <v>6348.2197435902726</v>
      </c>
      <c r="I24" s="690">
        <v>6451.2009520675174</v>
      </c>
      <c r="J24" s="691">
        <v>6692.795278870075</v>
      </c>
      <c r="K24" s="690">
        <v>6474.9367220016529</v>
      </c>
      <c r="L24" s="691">
        <v>6328.6293780031801</v>
      </c>
      <c r="M24" s="690">
        <v>6184.8625573698764</v>
      </c>
      <c r="N24" s="690">
        <v>6209.4169134788726</v>
      </c>
      <c r="O24" s="693">
        <f t="shared" si="0"/>
        <v>76257.000000000015</v>
      </c>
    </row>
    <row r="25" spans="1:15" x14ac:dyDescent="0.2">
      <c r="A25" s="663" t="s">
        <v>165</v>
      </c>
      <c r="B25" s="675">
        <v>3.7699999999999997E-2</v>
      </c>
      <c r="C25" s="690">
        <v>54505.728935400104</v>
      </c>
      <c r="D25" s="691">
        <v>83156.91586500562</v>
      </c>
      <c r="E25" s="690">
        <v>57168.362849902842</v>
      </c>
      <c r="F25" s="691">
        <v>64939.668847210211</v>
      </c>
      <c r="G25" s="690">
        <v>61870.831540081279</v>
      </c>
      <c r="H25" s="690">
        <v>64683.211981987362</v>
      </c>
      <c r="I25" s="690">
        <v>65732.506998093348</v>
      </c>
      <c r="J25" s="691">
        <v>68194.157300919396</v>
      </c>
      <c r="K25" s="690">
        <v>65974.355248503314</v>
      </c>
      <c r="L25" s="691">
        <v>64483.602040735095</v>
      </c>
      <c r="M25" s="690">
        <v>63018.734706174146</v>
      </c>
      <c r="N25" s="690">
        <v>63268.923685987422</v>
      </c>
      <c r="O25" s="693">
        <f t="shared" si="0"/>
        <v>776997</v>
      </c>
    </row>
    <row r="26" spans="1:15" ht="13.5" thickBot="1" x14ac:dyDescent="0.25">
      <c r="A26" s="663" t="s">
        <v>166</v>
      </c>
      <c r="B26" s="676">
        <v>4.5999999999999999E-2</v>
      </c>
      <c r="C26" s="690">
        <v>66505.663953008087</v>
      </c>
      <c r="D26" s="691">
        <v>101464.6718777257</v>
      </c>
      <c r="E26" s="690">
        <v>69754.501090067133</v>
      </c>
      <c r="F26" s="691">
        <v>79236.73121940768</v>
      </c>
      <c r="G26" s="690">
        <v>75492.261295589895</v>
      </c>
      <c r="H26" s="690">
        <v>78923.813028419594</v>
      </c>
      <c r="I26" s="696">
        <v>80204.119944623177</v>
      </c>
      <c r="J26" s="691">
        <v>83207.725088654974</v>
      </c>
      <c r="K26" s="690">
        <v>80499.213300561081</v>
      </c>
      <c r="L26" s="691">
        <v>78680.257131931416</v>
      </c>
      <c r="M26" s="690">
        <v>76892.885848382241</v>
      </c>
      <c r="N26" s="690">
        <v>77198.156221629222</v>
      </c>
      <c r="O26" s="693">
        <f t="shared" si="0"/>
        <v>948060.00000000023</v>
      </c>
    </row>
    <row r="27" spans="1:15" ht="13.5" thickBot="1" x14ac:dyDescent="0.25">
      <c r="A27" s="668" t="s">
        <v>290</v>
      </c>
      <c r="B27" s="669">
        <f>SUM(B7:B26)</f>
        <v>1</v>
      </c>
      <c r="C27" s="698">
        <f>SUM(C7:C26)</f>
        <v>1445775.3033262629</v>
      </c>
      <c r="D27" s="698">
        <f t="shared" ref="D27:O27" si="1">SUM(D7:D26)</f>
        <v>2205753.7364722979</v>
      </c>
      <c r="E27" s="698">
        <f t="shared" si="1"/>
        <v>1516402.197610155</v>
      </c>
      <c r="F27" s="698">
        <f t="shared" si="1"/>
        <v>1722537.6352045152</v>
      </c>
      <c r="G27" s="698">
        <f t="shared" si="1"/>
        <v>1641136.1151215194</v>
      </c>
      <c r="H27" s="698">
        <f t="shared" si="1"/>
        <v>1715735.0658352086</v>
      </c>
      <c r="I27" s="698">
        <f t="shared" si="1"/>
        <v>1743567.8248831125</v>
      </c>
      <c r="J27" s="698">
        <f t="shared" si="1"/>
        <v>1808863.5888838039</v>
      </c>
      <c r="K27" s="698">
        <f t="shared" si="1"/>
        <v>1749982.8978382845</v>
      </c>
      <c r="L27" s="698">
        <f t="shared" si="1"/>
        <v>1710440.3724332915</v>
      </c>
      <c r="M27" s="698">
        <f t="shared" si="1"/>
        <v>1671584.474964832</v>
      </c>
      <c r="N27" s="698">
        <f t="shared" si="1"/>
        <v>1678220.787426722</v>
      </c>
      <c r="O27" s="698">
        <f t="shared" si="1"/>
        <v>20610000.000000004</v>
      </c>
    </row>
    <row r="28" spans="1:15" hidden="1" x14ac:dyDescent="0.2">
      <c r="A28" s="679" t="s">
        <v>355</v>
      </c>
      <c r="B28" s="679"/>
      <c r="C28" s="680">
        <f>'[4]PRESUPUSTO ESTATAL 2017'!B52</f>
        <v>1521250.4468291907</v>
      </c>
      <c r="D28" s="680">
        <f>'[4]PRESUPUSTO ESTATAL 2017'!C52</f>
        <v>1992155.4322061262</v>
      </c>
      <c r="E28" s="680">
        <f>'[4]PRESUPUSTO ESTATAL 2017'!D52</f>
        <v>1561223.5204092669</v>
      </c>
      <c r="F28" s="680">
        <f>'[4]PRESUPUSTO ESTATAL 2017'!E52</f>
        <v>1709133.4840227321</v>
      </c>
      <c r="G28" s="680">
        <f>'[4]PRESUPUSTO ESTATAL 2017'!F52</f>
        <v>1794276.5472658337</v>
      </c>
      <c r="H28" s="680">
        <f>'[4]PRESUPUSTO ESTATAL 2017'!G52</f>
        <v>1664193.9164477964</v>
      </c>
      <c r="I28" s="680">
        <f>'[4]PRESUPUSTO ESTATAL 2017'!H52</f>
        <v>1722567.8942233375</v>
      </c>
      <c r="J28" s="680">
        <f>'[4]PRESUPUSTO ESTATAL 2017'!I52</f>
        <v>1774773.0179705636</v>
      </c>
      <c r="K28" s="680">
        <f>'[4]PRESUPUSTO ESTATAL 2017'!J52</f>
        <v>1814273.0193366187</v>
      </c>
      <c r="L28" s="680">
        <f>'[4]PRESUPUSTO ESTATAL 2017'!K52</f>
        <v>1772942.0603667807</v>
      </c>
      <c r="M28" s="680">
        <f>'[4]PRESUPUSTO ESTATAL 2017'!L52</f>
        <v>1696337.0334839264</v>
      </c>
      <c r="N28" s="680">
        <f>'[4]PRESUPUSTO ESTATAL 2017'!M52</f>
        <v>1676873.6274378267</v>
      </c>
      <c r="O28" s="680">
        <f>SUM(C28:N28)</f>
        <v>20700000</v>
      </c>
    </row>
    <row r="29" spans="1:15" hidden="1" x14ac:dyDescent="0.2">
      <c r="A29" s="681" t="s">
        <v>356</v>
      </c>
      <c r="B29" s="681"/>
      <c r="C29" s="682">
        <f>C28-C27</f>
        <v>75475.143502927851</v>
      </c>
      <c r="D29" s="682">
        <f t="shared" ref="D29:O29" si="2">D28-D27</f>
        <v>-213598.30426617176</v>
      </c>
      <c r="E29" s="682">
        <f t="shared" si="2"/>
        <v>44821.322799111949</v>
      </c>
      <c r="F29" s="682">
        <f t="shared" si="2"/>
        <v>-13404.151181783061</v>
      </c>
      <c r="G29" s="682">
        <f t="shared" si="2"/>
        <v>153140.43214431428</v>
      </c>
      <c r="H29" s="682">
        <f t="shared" si="2"/>
        <v>-51541.149387412239</v>
      </c>
      <c r="I29" s="682">
        <f t="shared" si="2"/>
        <v>-20999.930659774924</v>
      </c>
      <c r="J29" s="682">
        <f t="shared" si="2"/>
        <v>-34090.570913240314</v>
      </c>
      <c r="K29" s="682">
        <f t="shared" si="2"/>
        <v>64290.121498334222</v>
      </c>
      <c r="L29" s="682">
        <f t="shared" si="2"/>
        <v>62501.687933489215</v>
      </c>
      <c r="M29" s="682">
        <f t="shared" si="2"/>
        <v>24752.558519094484</v>
      </c>
      <c r="N29" s="682">
        <f t="shared" si="2"/>
        <v>-1347.1599888952915</v>
      </c>
      <c r="O29" s="682">
        <f t="shared" si="2"/>
        <v>89999.999999996275</v>
      </c>
    </row>
    <row r="30" spans="1:15" x14ac:dyDescent="0.2">
      <c r="A30" s="672" t="s">
        <v>291</v>
      </c>
    </row>
    <row r="31" spans="1:15" x14ac:dyDescent="0.2">
      <c r="C31" s="667">
        <f>'X22.55 POE'!B39</f>
        <v>1445775.3</v>
      </c>
      <c r="D31" s="667">
        <f>'X22.55 POE'!C39</f>
        <v>2205753.7400000002</v>
      </c>
      <c r="E31" s="667">
        <f>'X22.55 POE'!D39</f>
        <v>1516402.2</v>
      </c>
      <c r="F31" s="667">
        <f>'X22.55 POE'!E39</f>
        <v>1722537.64</v>
      </c>
      <c r="G31" s="667">
        <f>'X22.55 POE'!F39</f>
        <v>1641136.12</v>
      </c>
      <c r="H31" s="667">
        <f>'X22.55 POE'!G39</f>
        <v>1715735.07</v>
      </c>
      <c r="I31" s="667">
        <f>'X22.55 POE'!H39</f>
        <v>1743567.82</v>
      </c>
      <c r="J31" s="667">
        <f>'X22.55 POE'!I39</f>
        <v>1808863.59</v>
      </c>
      <c r="K31" s="667">
        <f>'X22.55 POE'!J39</f>
        <v>1749982.9</v>
      </c>
      <c r="L31" s="667">
        <f>'X22.55 POE'!K39</f>
        <v>1710440.37</v>
      </c>
      <c r="M31" s="667">
        <f>'X22.55 POE'!L39</f>
        <v>1671584.47</v>
      </c>
      <c r="N31" s="667">
        <f>'X22.55 POE'!M39</f>
        <v>1678220.79</v>
      </c>
      <c r="O31" s="667">
        <f>SUM(C31:N31)</f>
        <v>20610000.009999998</v>
      </c>
    </row>
    <row r="32" spans="1:15" x14ac:dyDescent="0.2">
      <c r="C32" s="701">
        <v>2625795.3656119597</v>
      </c>
      <c r="D32" s="701">
        <v>3683918.375220194</v>
      </c>
      <c r="E32" s="701">
        <v>3711354.5901933066</v>
      </c>
      <c r="F32" s="701">
        <v>2325286.2566395234</v>
      </c>
      <c r="G32" s="701">
        <v>2774865.8148206621</v>
      </c>
      <c r="H32" s="701">
        <v>2929972.1496531935</v>
      </c>
      <c r="I32" s="701">
        <v>3024439.680759659</v>
      </c>
      <c r="J32" s="701">
        <v>3127502.5525605395</v>
      </c>
      <c r="K32" s="701">
        <v>3906131.117449007</v>
      </c>
      <c r="L32" s="701">
        <v>2580068.1894155578</v>
      </c>
      <c r="M32" s="701">
        <v>2587476.8159215115</v>
      </c>
      <c r="N32" s="701">
        <v>2896776.3667548862</v>
      </c>
      <c r="O32" s="701">
        <f>SUM(C32:N32)</f>
        <v>36173587.274999999</v>
      </c>
    </row>
    <row r="33" spans="3:15" x14ac:dyDescent="0.2">
      <c r="C33" s="701">
        <f>C32-C27</f>
        <v>1180020.0622856969</v>
      </c>
      <c r="D33" s="701">
        <f t="shared" ref="D33:N33" si="3">D32-D27</f>
        <v>1478164.6387478961</v>
      </c>
      <c r="E33" s="701">
        <f t="shared" si="3"/>
        <v>2194952.3925831513</v>
      </c>
      <c r="F33" s="701">
        <f t="shared" si="3"/>
        <v>602748.62143500824</v>
      </c>
      <c r="G33" s="701">
        <f t="shared" si="3"/>
        <v>1133729.6996991427</v>
      </c>
      <c r="H33" s="701">
        <f t="shared" si="3"/>
        <v>1214237.0838179849</v>
      </c>
      <c r="I33" s="701">
        <f t="shared" si="3"/>
        <v>1280871.8558765466</v>
      </c>
      <c r="J33" s="701">
        <f t="shared" si="3"/>
        <v>1318638.9636767355</v>
      </c>
      <c r="K33" s="701">
        <f t="shared" si="3"/>
        <v>2156148.2196107227</v>
      </c>
      <c r="L33" s="701">
        <f t="shared" si="3"/>
        <v>869627.81698226626</v>
      </c>
      <c r="M33" s="701">
        <f t="shared" si="3"/>
        <v>915892.34095667955</v>
      </c>
      <c r="N33" s="701">
        <f t="shared" si="3"/>
        <v>1218555.5793281642</v>
      </c>
      <c r="O33" s="701">
        <f>SUM(C33:N33)</f>
        <v>15563587.274999995</v>
      </c>
    </row>
    <row r="34" spans="3:15" x14ac:dyDescent="0.2">
      <c r="C34" s="667"/>
      <c r="D34" s="667"/>
      <c r="E34" s="667"/>
      <c r="F34" s="667"/>
      <c r="G34" s="667"/>
      <c r="H34" s="667"/>
      <c r="I34" s="667"/>
      <c r="J34" s="667"/>
      <c r="K34" s="667"/>
      <c r="L34" s="667"/>
      <c r="M34" s="667"/>
      <c r="N34" s="667"/>
      <c r="O34" s="667"/>
    </row>
    <row r="38" spans="3:15" x14ac:dyDescent="0.2">
      <c r="K38" s="667"/>
    </row>
  </sheetData>
  <mergeCells count="4">
    <mergeCell ref="A1:O1"/>
    <mergeCell ref="A2:O2"/>
    <mergeCell ref="A3:O3"/>
    <mergeCell ref="A4:O4"/>
  </mergeCells>
  <pageMargins left="0.75" right="0.75" top="1" bottom="1" header="0" footer="0"/>
  <pageSetup paperSize="5" scale="95"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tabColor theme="5" tint="0.59999389629810485"/>
  </sheetPr>
  <dimension ref="A1:P34"/>
  <sheetViews>
    <sheetView workbookViewId="0">
      <selection sqref="A1:O1"/>
    </sheetView>
  </sheetViews>
  <sheetFormatPr baseColWidth="10" defaultRowHeight="12.75" x14ac:dyDescent="0.2"/>
  <cols>
    <col min="1" max="1" width="16" style="658" customWidth="1"/>
    <col min="2" max="2" width="9.42578125" style="658" bestFit="1" customWidth="1"/>
    <col min="3" max="14" width="12.7109375" style="658" bestFit="1" customWidth="1"/>
    <col min="15" max="15" width="14" style="658" bestFit="1" customWidth="1"/>
    <col min="16" max="16" width="13.7109375" style="658" bestFit="1" customWidth="1"/>
    <col min="17" max="16384" width="11.42578125" style="658"/>
  </cols>
  <sheetData>
    <row r="1" spans="1:15" ht="15.75" x14ac:dyDescent="0.25">
      <c r="A1" s="1019" t="s">
        <v>279</v>
      </c>
      <c r="B1" s="1019"/>
      <c r="C1" s="1019"/>
      <c r="D1" s="1019"/>
      <c r="E1" s="1019"/>
      <c r="F1" s="1019"/>
      <c r="G1" s="1019"/>
      <c r="H1" s="1019"/>
      <c r="I1" s="1019"/>
      <c r="J1" s="1019"/>
      <c r="K1" s="1019"/>
      <c r="L1" s="1019"/>
      <c r="M1" s="1019"/>
      <c r="N1" s="1019"/>
      <c r="O1" s="1019"/>
    </row>
    <row r="2" spans="1:15" x14ac:dyDescent="0.2">
      <c r="A2" s="1020" t="s">
        <v>280</v>
      </c>
      <c r="B2" s="1020"/>
      <c r="C2" s="1020"/>
      <c r="D2" s="1020"/>
      <c r="E2" s="1020"/>
      <c r="F2" s="1020"/>
      <c r="G2" s="1020"/>
      <c r="H2" s="1020"/>
      <c r="I2" s="1020"/>
      <c r="J2" s="1020"/>
      <c r="K2" s="1020"/>
      <c r="L2" s="1020"/>
      <c r="M2" s="1020"/>
      <c r="N2" s="1020"/>
      <c r="O2" s="1020"/>
    </row>
    <row r="3" spans="1:15" x14ac:dyDescent="0.2">
      <c r="A3" s="1020" t="s">
        <v>281</v>
      </c>
      <c r="B3" s="1020"/>
      <c r="C3" s="1020"/>
      <c r="D3" s="1020"/>
      <c r="E3" s="1020"/>
      <c r="F3" s="1020"/>
      <c r="G3" s="1020"/>
      <c r="H3" s="1020"/>
      <c r="I3" s="1020"/>
      <c r="J3" s="1020"/>
      <c r="K3" s="1020"/>
      <c r="L3" s="1020"/>
      <c r="M3" s="1020"/>
      <c r="N3" s="1020"/>
      <c r="O3" s="1020"/>
    </row>
    <row r="4" spans="1:15" x14ac:dyDescent="0.2">
      <c r="A4" s="1021" t="s">
        <v>366</v>
      </c>
      <c r="B4" s="1021"/>
      <c r="C4" s="1021"/>
      <c r="D4" s="1021"/>
      <c r="E4" s="1021"/>
      <c r="F4" s="1021"/>
      <c r="G4" s="1021"/>
      <c r="H4" s="1021"/>
      <c r="I4" s="1021"/>
      <c r="J4" s="1021"/>
      <c r="K4" s="1021"/>
      <c r="L4" s="1021"/>
      <c r="M4" s="1021"/>
      <c r="N4" s="1021"/>
      <c r="O4" s="1021"/>
    </row>
    <row r="5" spans="1:15" ht="13.5" thickBot="1" x14ac:dyDescent="0.25"/>
    <row r="6" spans="1:15" ht="23.25" thickBot="1" x14ac:dyDescent="0.25">
      <c r="A6" s="659" t="s">
        <v>351</v>
      </c>
      <c r="B6" s="660" t="s">
        <v>283</v>
      </c>
      <c r="C6" s="659" t="s">
        <v>1</v>
      </c>
      <c r="D6" s="661" t="s">
        <v>2</v>
      </c>
      <c r="E6" s="659" t="s">
        <v>3</v>
      </c>
      <c r="F6" s="661" t="s">
        <v>4</v>
      </c>
      <c r="G6" s="659" t="s">
        <v>5</v>
      </c>
      <c r="H6" s="659" t="s">
        <v>6</v>
      </c>
      <c r="I6" s="659" t="s">
        <v>7</v>
      </c>
      <c r="J6" s="661" t="s">
        <v>8</v>
      </c>
      <c r="K6" s="659" t="s">
        <v>9</v>
      </c>
      <c r="L6" s="661" t="s">
        <v>10</v>
      </c>
      <c r="M6" s="659" t="s">
        <v>11</v>
      </c>
      <c r="N6" s="659" t="s">
        <v>12</v>
      </c>
      <c r="O6" s="662" t="s">
        <v>169</v>
      </c>
    </row>
    <row r="7" spans="1:15" x14ac:dyDescent="0.2">
      <c r="A7" s="663" t="s">
        <v>284</v>
      </c>
      <c r="B7" s="700">
        <f>FFM!N9</f>
        <v>0</v>
      </c>
      <c r="C7" s="690">
        <f t="shared" ref="C7:C26" si="0">$C$31*B7/100</f>
        <v>0</v>
      </c>
      <c r="D7" s="691">
        <f t="shared" ref="D7:D11" si="1">$D$32*B7/100</f>
        <v>0</v>
      </c>
      <c r="E7" s="690">
        <f t="shared" ref="E7:E11" si="2">$E$32*B7/100</f>
        <v>0</v>
      </c>
      <c r="F7" s="691">
        <f t="shared" ref="F7:F11" si="3">$F$32*B7/100</f>
        <v>0</v>
      </c>
      <c r="G7" s="690">
        <f t="shared" ref="G7:G11" si="4">$G$32*B7/100</f>
        <v>0</v>
      </c>
      <c r="H7" s="690">
        <f t="shared" ref="H7:H11" si="5">$H$32*B7/100</f>
        <v>0</v>
      </c>
      <c r="I7" s="690">
        <f t="shared" ref="I7:I11" si="6">$I$32*B7/100</f>
        <v>0</v>
      </c>
      <c r="J7" s="691">
        <f t="shared" ref="J7:J11" si="7">$J$32*B7/100</f>
        <v>0</v>
      </c>
      <c r="K7" s="690">
        <f t="shared" ref="K7:K11" si="8">$K$32*B7/100</f>
        <v>0</v>
      </c>
      <c r="L7" s="691">
        <f t="shared" ref="L7:L11" si="9">$L$32*B7/100</f>
        <v>0</v>
      </c>
      <c r="M7" s="690">
        <f t="shared" ref="M7:M11" si="10">$M$32*B7/100</f>
        <v>0</v>
      </c>
      <c r="N7" s="690">
        <f t="shared" ref="N7:N11" si="11">$N$32*B7/100</f>
        <v>0</v>
      </c>
      <c r="O7" s="693">
        <f t="shared" ref="O7:O27" si="12">SUM(C7:N7)</f>
        <v>0</v>
      </c>
    </row>
    <row r="8" spans="1:15" x14ac:dyDescent="0.2">
      <c r="A8" s="663" t="s">
        <v>148</v>
      </c>
      <c r="B8" s="700">
        <f>FFM!N10</f>
        <v>0</v>
      </c>
      <c r="C8" s="690">
        <f t="shared" si="0"/>
        <v>0</v>
      </c>
      <c r="D8" s="691">
        <f t="shared" si="1"/>
        <v>0</v>
      </c>
      <c r="E8" s="690">
        <f t="shared" si="2"/>
        <v>0</v>
      </c>
      <c r="F8" s="691">
        <f t="shared" si="3"/>
        <v>0</v>
      </c>
      <c r="G8" s="690">
        <f t="shared" si="4"/>
        <v>0</v>
      </c>
      <c r="H8" s="690">
        <f t="shared" si="5"/>
        <v>0</v>
      </c>
      <c r="I8" s="690">
        <f t="shared" si="6"/>
        <v>0</v>
      </c>
      <c r="J8" s="691">
        <f t="shared" si="7"/>
        <v>0</v>
      </c>
      <c r="K8" s="690">
        <f t="shared" si="8"/>
        <v>0</v>
      </c>
      <c r="L8" s="691">
        <f t="shared" si="9"/>
        <v>0</v>
      </c>
      <c r="M8" s="690">
        <f t="shared" si="10"/>
        <v>0</v>
      </c>
      <c r="N8" s="690">
        <f t="shared" si="11"/>
        <v>0</v>
      </c>
      <c r="O8" s="693">
        <f t="shared" si="12"/>
        <v>0</v>
      </c>
    </row>
    <row r="9" spans="1:15" x14ac:dyDescent="0.2">
      <c r="A9" s="663" t="s">
        <v>149</v>
      </c>
      <c r="B9" s="700">
        <f>FFM!N11</f>
        <v>0</v>
      </c>
      <c r="C9" s="690">
        <f t="shared" si="0"/>
        <v>0</v>
      </c>
      <c r="D9" s="691">
        <f t="shared" si="1"/>
        <v>0</v>
      </c>
      <c r="E9" s="690">
        <f t="shared" si="2"/>
        <v>0</v>
      </c>
      <c r="F9" s="691">
        <f t="shared" si="3"/>
        <v>0</v>
      </c>
      <c r="G9" s="690">
        <f t="shared" si="4"/>
        <v>0</v>
      </c>
      <c r="H9" s="690">
        <f t="shared" si="5"/>
        <v>0</v>
      </c>
      <c r="I9" s="690">
        <f t="shared" si="6"/>
        <v>0</v>
      </c>
      <c r="J9" s="691">
        <f t="shared" si="7"/>
        <v>0</v>
      </c>
      <c r="K9" s="690">
        <f t="shared" si="8"/>
        <v>0</v>
      </c>
      <c r="L9" s="691">
        <f t="shared" si="9"/>
        <v>0</v>
      </c>
      <c r="M9" s="690">
        <f t="shared" si="10"/>
        <v>0</v>
      </c>
      <c r="N9" s="690">
        <f t="shared" si="11"/>
        <v>0</v>
      </c>
      <c r="O9" s="693">
        <f t="shared" si="12"/>
        <v>0</v>
      </c>
    </row>
    <row r="10" spans="1:15" x14ac:dyDescent="0.2">
      <c r="A10" s="663" t="s">
        <v>285</v>
      </c>
      <c r="B10" s="700">
        <f>FFM!N12</f>
        <v>0</v>
      </c>
      <c r="C10" s="690">
        <f t="shared" si="0"/>
        <v>0</v>
      </c>
      <c r="D10" s="691">
        <f t="shared" si="1"/>
        <v>0</v>
      </c>
      <c r="E10" s="690">
        <f t="shared" si="2"/>
        <v>0</v>
      </c>
      <c r="F10" s="691">
        <f t="shared" si="3"/>
        <v>0</v>
      </c>
      <c r="G10" s="690">
        <f t="shared" si="4"/>
        <v>0</v>
      </c>
      <c r="H10" s="690">
        <f t="shared" si="5"/>
        <v>0</v>
      </c>
      <c r="I10" s="690">
        <f t="shared" si="6"/>
        <v>0</v>
      </c>
      <c r="J10" s="691">
        <f t="shared" si="7"/>
        <v>0</v>
      </c>
      <c r="K10" s="690">
        <f t="shared" si="8"/>
        <v>0</v>
      </c>
      <c r="L10" s="691">
        <f t="shared" si="9"/>
        <v>0</v>
      </c>
      <c r="M10" s="690">
        <f t="shared" si="10"/>
        <v>0</v>
      </c>
      <c r="N10" s="690">
        <f t="shared" si="11"/>
        <v>0</v>
      </c>
      <c r="O10" s="693">
        <f t="shared" si="12"/>
        <v>0</v>
      </c>
    </row>
    <row r="11" spans="1:15" x14ac:dyDescent="0.2">
      <c r="A11" s="663" t="s">
        <v>151</v>
      </c>
      <c r="B11" s="700">
        <f>FFM!N13</f>
        <v>0</v>
      </c>
      <c r="C11" s="690">
        <f t="shared" si="0"/>
        <v>0</v>
      </c>
      <c r="D11" s="691">
        <f t="shared" si="1"/>
        <v>0</v>
      </c>
      <c r="E11" s="690">
        <f t="shared" si="2"/>
        <v>0</v>
      </c>
      <c r="F11" s="691">
        <f t="shared" si="3"/>
        <v>0</v>
      </c>
      <c r="G11" s="690">
        <f t="shared" si="4"/>
        <v>0</v>
      </c>
      <c r="H11" s="690">
        <f t="shared" si="5"/>
        <v>0</v>
      </c>
      <c r="I11" s="690">
        <f t="shared" si="6"/>
        <v>0</v>
      </c>
      <c r="J11" s="691">
        <f t="shared" si="7"/>
        <v>0</v>
      </c>
      <c r="K11" s="690">
        <f t="shared" si="8"/>
        <v>0</v>
      </c>
      <c r="L11" s="691">
        <f t="shared" si="9"/>
        <v>0</v>
      </c>
      <c r="M11" s="690">
        <f t="shared" si="10"/>
        <v>0</v>
      </c>
      <c r="N11" s="690">
        <f t="shared" si="11"/>
        <v>0</v>
      </c>
      <c r="O11" s="693">
        <f t="shared" si="12"/>
        <v>0</v>
      </c>
    </row>
    <row r="12" spans="1:15" x14ac:dyDescent="0.2">
      <c r="A12" s="663" t="s">
        <v>286</v>
      </c>
      <c r="B12" s="700">
        <f>FFM!N14</f>
        <v>0.53761122811077788</v>
      </c>
      <c r="C12" s="690">
        <f>$C$34*B12/100</f>
        <v>4089.0853979856042</v>
      </c>
      <c r="D12" s="691">
        <f>$D$34*B12/100</f>
        <v>18045.750968938875</v>
      </c>
      <c r="E12" s="690">
        <f>$E$34*B12/100</f>
        <v>10989.816308207875</v>
      </c>
      <c r="F12" s="691">
        <f>$F$34*B12/100</f>
        <v>26176.492542477674</v>
      </c>
      <c r="G12" s="690">
        <f>$G$34*B12/100</f>
        <v>20006.506041773817</v>
      </c>
      <c r="H12" s="690">
        <f>$H$34*B12/100</f>
        <v>19205.461161283853</v>
      </c>
      <c r="I12" s="690">
        <f>$I$34*B12/100</f>
        <v>8003.7594522106356</v>
      </c>
      <c r="J12" s="691">
        <f>$J$34*B12/100</f>
        <v>17407.885210395008</v>
      </c>
      <c r="K12" s="690">
        <f>$K$34*B12/100</f>
        <v>6525.8738061002177</v>
      </c>
      <c r="L12" s="691">
        <f>$L$34*B12/100</f>
        <v>141.82875809383336</v>
      </c>
      <c r="M12" s="690">
        <f>$M$34*B12/100</f>
        <v>11902.289969352791</v>
      </c>
      <c r="N12" s="690">
        <f>$N$34*B12/100</f>
        <v>4442.4083579318149</v>
      </c>
      <c r="O12" s="693">
        <f t="shared" si="12"/>
        <v>146937.15797475202</v>
      </c>
    </row>
    <row r="13" spans="1:15" x14ac:dyDescent="0.2">
      <c r="A13" s="663" t="s">
        <v>153</v>
      </c>
      <c r="B13" s="700">
        <f>FFM!N15</f>
        <v>0.17349206962937452</v>
      </c>
      <c r="C13" s="690">
        <f t="shared" ref="C13:C25" si="13">$C$34*B13/100</f>
        <v>1319.5853276367886</v>
      </c>
      <c r="D13" s="691">
        <f t="shared" ref="D13:D26" si="14">$D$34*B13/100</f>
        <v>5823.5291971476054</v>
      </c>
      <c r="E13" s="690">
        <f t="shared" ref="E13:E26" si="15">$E$34*B13/100</f>
        <v>3546.5144261547325</v>
      </c>
      <c r="F13" s="691">
        <f t="shared" ref="F13:F26" si="16">$F$34*B13/100</f>
        <v>8447.3940077318384</v>
      </c>
      <c r="G13" s="690">
        <f t="shared" ref="G13:G26" si="17">$G$34*B13/100</f>
        <v>6456.2828262297971</v>
      </c>
      <c r="H13" s="690">
        <f t="shared" ref="H13:H26" si="18">$H$34*B13/100</f>
        <v>6197.7783030437922</v>
      </c>
      <c r="I13" s="690">
        <f t="shared" ref="I13:I26" si="19">$I$34*B13/100</f>
        <v>2582.8865164504441</v>
      </c>
      <c r="J13" s="691">
        <f t="shared" ref="J13:J26" si="20">$J$34*B13/100</f>
        <v>5617.6840718804606</v>
      </c>
      <c r="K13" s="690">
        <f t="shared" ref="K13:K26" si="21">$K$34*B13/100</f>
        <v>2105.9592760721816</v>
      </c>
      <c r="L13" s="691">
        <f t="shared" ref="L13:L26" si="22">$L$34*B13/100</f>
        <v>45.7694398629502</v>
      </c>
      <c r="M13" s="690">
        <f t="shared" ref="M13:M26" si="23">$M$34*B13/100</f>
        <v>3840.9780379186295</v>
      </c>
      <c r="N13" s="690">
        <f t="shared" ref="N13:N26" si="24">$N$34*B13/100</f>
        <v>1433.6058844321794</v>
      </c>
      <c r="O13" s="693">
        <f t="shared" si="12"/>
        <v>47417.9673145614</v>
      </c>
    </row>
    <row r="14" spans="1:15" x14ac:dyDescent="0.2">
      <c r="A14" s="663" t="s">
        <v>154</v>
      </c>
      <c r="B14" s="700">
        <f>FFM!N16</f>
        <v>0</v>
      </c>
      <c r="C14" s="690">
        <f t="shared" si="13"/>
        <v>0</v>
      </c>
      <c r="D14" s="691">
        <f t="shared" si="14"/>
        <v>0</v>
      </c>
      <c r="E14" s="690">
        <f t="shared" si="15"/>
        <v>0</v>
      </c>
      <c r="F14" s="691">
        <f t="shared" si="16"/>
        <v>0</v>
      </c>
      <c r="G14" s="690">
        <f t="shared" si="17"/>
        <v>0</v>
      </c>
      <c r="H14" s="690">
        <f t="shared" si="18"/>
        <v>0</v>
      </c>
      <c r="I14" s="690">
        <f t="shared" si="19"/>
        <v>0</v>
      </c>
      <c r="J14" s="691">
        <f t="shared" si="20"/>
        <v>0</v>
      </c>
      <c r="K14" s="690">
        <f t="shared" si="21"/>
        <v>0</v>
      </c>
      <c r="L14" s="691">
        <f t="shared" si="22"/>
        <v>0</v>
      </c>
      <c r="M14" s="690">
        <f t="shared" si="23"/>
        <v>0</v>
      </c>
      <c r="N14" s="690">
        <f t="shared" si="24"/>
        <v>0</v>
      </c>
      <c r="O14" s="693">
        <f t="shared" si="12"/>
        <v>0</v>
      </c>
    </row>
    <row r="15" spans="1:15" x14ac:dyDescent="0.2">
      <c r="A15" s="663" t="s">
        <v>155</v>
      </c>
      <c r="B15" s="700">
        <f>FFM!N17</f>
        <v>0</v>
      </c>
      <c r="C15" s="690">
        <f t="shared" si="13"/>
        <v>0</v>
      </c>
      <c r="D15" s="691">
        <f t="shared" si="14"/>
        <v>0</v>
      </c>
      <c r="E15" s="690">
        <f t="shared" si="15"/>
        <v>0</v>
      </c>
      <c r="F15" s="691">
        <f t="shared" si="16"/>
        <v>0</v>
      </c>
      <c r="G15" s="690">
        <f t="shared" si="17"/>
        <v>0</v>
      </c>
      <c r="H15" s="690">
        <f t="shared" si="18"/>
        <v>0</v>
      </c>
      <c r="I15" s="690">
        <f t="shared" si="19"/>
        <v>0</v>
      </c>
      <c r="J15" s="691">
        <f t="shared" si="20"/>
        <v>0</v>
      </c>
      <c r="K15" s="690">
        <f t="shared" si="21"/>
        <v>0</v>
      </c>
      <c r="L15" s="691">
        <f t="shared" si="22"/>
        <v>0</v>
      </c>
      <c r="M15" s="690">
        <f t="shared" si="23"/>
        <v>0</v>
      </c>
      <c r="N15" s="690">
        <f t="shared" si="24"/>
        <v>0</v>
      </c>
      <c r="O15" s="693">
        <f t="shared" si="12"/>
        <v>0</v>
      </c>
    </row>
    <row r="16" spans="1:15" x14ac:dyDescent="0.2">
      <c r="A16" s="663" t="s">
        <v>156</v>
      </c>
      <c r="B16" s="700">
        <f>FFM!N18</f>
        <v>0</v>
      </c>
      <c r="C16" s="690">
        <f t="shared" si="13"/>
        <v>0</v>
      </c>
      <c r="D16" s="691">
        <f t="shared" si="14"/>
        <v>0</v>
      </c>
      <c r="E16" s="690">
        <f t="shared" si="15"/>
        <v>0</v>
      </c>
      <c r="F16" s="691">
        <f t="shared" si="16"/>
        <v>0</v>
      </c>
      <c r="G16" s="690">
        <f t="shared" si="17"/>
        <v>0</v>
      </c>
      <c r="H16" s="690">
        <f t="shared" si="18"/>
        <v>0</v>
      </c>
      <c r="I16" s="690">
        <f t="shared" si="19"/>
        <v>0</v>
      </c>
      <c r="J16" s="691">
        <f t="shared" si="20"/>
        <v>0</v>
      </c>
      <c r="K16" s="690">
        <f t="shared" si="21"/>
        <v>0</v>
      </c>
      <c r="L16" s="691">
        <f t="shared" si="22"/>
        <v>0</v>
      </c>
      <c r="M16" s="690">
        <f t="shared" si="23"/>
        <v>0</v>
      </c>
      <c r="N16" s="690">
        <f t="shared" si="24"/>
        <v>0</v>
      </c>
      <c r="O16" s="693">
        <f t="shared" si="12"/>
        <v>0</v>
      </c>
    </row>
    <row r="17" spans="1:16" x14ac:dyDescent="0.2">
      <c r="A17" s="663" t="s">
        <v>157</v>
      </c>
      <c r="B17" s="700">
        <f>FFM!N19</f>
        <v>22.336359871008909</v>
      </c>
      <c r="C17" s="690">
        <f t="shared" si="13"/>
        <v>169890.95133607218</v>
      </c>
      <c r="D17" s="691">
        <f t="shared" si="14"/>
        <v>749754.40747634496</v>
      </c>
      <c r="E17" s="690">
        <f t="shared" si="15"/>
        <v>456598.5216473802</v>
      </c>
      <c r="F17" s="691">
        <f t="shared" si="16"/>
        <v>1087565.7482902943</v>
      </c>
      <c r="G17" s="690">
        <f t="shared" si="17"/>
        <v>831218.72339037771</v>
      </c>
      <c r="H17" s="690">
        <f t="shared" si="18"/>
        <v>797937.37473564642</v>
      </c>
      <c r="I17" s="690">
        <f t="shared" si="19"/>
        <v>332535.56119688839</v>
      </c>
      <c r="J17" s="691">
        <f t="shared" si="20"/>
        <v>723252.73045167152</v>
      </c>
      <c r="K17" s="690">
        <f t="shared" si="21"/>
        <v>271133.22450142266</v>
      </c>
      <c r="L17" s="691">
        <f t="shared" si="22"/>
        <v>5892.6190808450865</v>
      </c>
      <c r="M17" s="690">
        <f t="shared" si="23"/>
        <v>494509.44873082684</v>
      </c>
      <c r="N17" s="690">
        <f t="shared" si="24"/>
        <v>184570.6089983233</v>
      </c>
      <c r="O17" s="693">
        <f t="shared" si="12"/>
        <v>6104859.9198360927</v>
      </c>
    </row>
    <row r="18" spans="1:16" x14ac:dyDescent="0.2">
      <c r="A18" s="663" t="s">
        <v>158</v>
      </c>
      <c r="B18" s="700">
        <f>FFM!N20</f>
        <v>0</v>
      </c>
      <c r="C18" s="690">
        <f t="shared" si="13"/>
        <v>0</v>
      </c>
      <c r="D18" s="691">
        <f t="shared" si="14"/>
        <v>0</v>
      </c>
      <c r="E18" s="690">
        <f t="shared" si="15"/>
        <v>0</v>
      </c>
      <c r="F18" s="691">
        <f t="shared" si="16"/>
        <v>0</v>
      </c>
      <c r="G18" s="690">
        <f t="shared" si="17"/>
        <v>0</v>
      </c>
      <c r="H18" s="690">
        <f t="shared" si="18"/>
        <v>0</v>
      </c>
      <c r="I18" s="690">
        <f t="shared" si="19"/>
        <v>0</v>
      </c>
      <c r="J18" s="691">
        <f t="shared" si="20"/>
        <v>0</v>
      </c>
      <c r="K18" s="690">
        <f t="shared" si="21"/>
        <v>0</v>
      </c>
      <c r="L18" s="691">
        <f t="shared" si="22"/>
        <v>0</v>
      </c>
      <c r="M18" s="690">
        <f t="shared" si="23"/>
        <v>0</v>
      </c>
      <c r="N18" s="690">
        <f t="shared" si="24"/>
        <v>0</v>
      </c>
      <c r="O18" s="693">
        <f t="shared" si="12"/>
        <v>0</v>
      </c>
    </row>
    <row r="19" spans="1:16" x14ac:dyDescent="0.2">
      <c r="A19" s="663" t="s">
        <v>159</v>
      </c>
      <c r="B19" s="700">
        <f>FFM!N21</f>
        <v>0</v>
      </c>
      <c r="C19" s="690">
        <f t="shared" si="13"/>
        <v>0</v>
      </c>
      <c r="D19" s="691">
        <f t="shared" si="14"/>
        <v>0</v>
      </c>
      <c r="E19" s="690">
        <f t="shared" si="15"/>
        <v>0</v>
      </c>
      <c r="F19" s="691">
        <f t="shared" si="16"/>
        <v>0</v>
      </c>
      <c r="G19" s="690">
        <f t="shared" si="17"/>
        <v>0</v>
      </c>
      <c r="H19" s="690">
        <f t="shared" si="18"/>
        <v>0</v>
      </c>
      <c r="I19" s="690">
        <f t="shared" si="19"/>
        <v>0</v>
      </c>
      <c r="J19" s="691">
        <f t="shared" si="20"/>
        <v>0</v>
      </c>
      <c r="K19" s="690">
        <f t="shared" si="21"/>
        <v>0</v>
      </c>
      <c r="L19" s="691">
        <f t="shared" si="22"/>
        <v>0</v>
      </c>
      <c r="M19" s="690">
        <f t="shared" si="23"/>
        <v>0</v>
      </c>
      <c r="N19" s="690">
        <f t="shared" si="24"/>
        <v>0</v>
      </c>
      <c r="O19" s="693">
        <f t="shared" si="12"/>
        <v>0</v>
      </c>
    </row>
    <row r="20" spans="1:16" x14ac:dyDescent="0.2">
      <c r="A20" s="663" t="s">
        <v>287</v>
      </c>
      <c r="B20" s="700">
        <f>FFM!N22</f>
        <v>0</v>
      </c>
      <c r="C20" s="690">
        <f t="shared" si="13"/>
        <v>0</v>
      </c>
      <c r="D20" s="691">
        <f t="shared" si="14"/>
        <v>0</v>
      </c>
      <c r="E20" s="690">
        <f t="shared" si="15"/>
        <v>0</v>
      </c>
      <c r="F20" s="691">
        <f t="shared" si="16"/>
        <v>0</v>
      </c>
      <c r="G20" s="690">
        <f t="shared" si="17"/>
        <v>0</v>
      </c>
      <c r="H20" s="690">
        <f t="shared" si="18"/>
        <v>0</v>
      </c>
      <c r="I20" s="690">
        <f t="shared" si="19"/>
        <v>0</v>
      </c>
      <c r="J20" s="691">
        <f t="shared" si="20"/>
        <v>0</v>
      </c>
      <c r="K20" s="690">
        <f t="shared" si="21"/>
        <v>0</v>
      </c>
      <c r="L20" s="691">
        <f t="shared" si="22"/>
        <v>0</v>
      </c>
      <c r="M20" s="690">
        <f t="shared" si="23"/>
        <v>0</v>
      </c>
      <c r="N20" s="690">
        <f t="shared" si="24"/>
        <v>0</v>
      </c>
      <c r="O20" s="693">
        <f t="shared" si="12"/>
        <v>0</v>
      </c>
    </row>
    <row r="21" spans="1:16" x14ac:dyDescent="0.2">
      <c r="A21" s="663" t="s">
        <v>288</v>
      </c>
      <c r="B21" s="700">
        <f>FFM!N23</f>
        <v>0</v>
      </c>
      <c r="C21" s="690">
        <f t="shared" si="13"/>
        <v>0</v>
      </c>
      <c r="D21" s="691">
        <f t="shared" si="14"/>
        <v>0</v>
      </c>
      <c r="E21" s="690">
        <f t="shared" si="15"/>
        <v>0</v>
      </c>
      <c r="F21" s="691">
        <f t="shared" si="16"/>
        <v>0</v>
      </c>
      <c r="G21" s="690">
        <f t="shared" si="17"/>
        <v>0</v>
      </c>
      <c r="H21" s="690">
        <f t="shared" si="18"/>
        <v>0</v>
      </c>
      <c r="I21" s="690">
        <f t="shared" si="19"/>
        <v>0</v>
      </c>
      <c r="J21" s="691">
        <f t="shared" si="20"/>
        <v>0</v>
      </c>
      <c r="K21" s="690">
        <f t="shared" si="21"/>
        <v>0</v>
      </c>
      <c r="L21" s="691">
        <f t="shared" si="22"/>
        <v>0</v>
      </c>
      <c r="M21" s="690">
        <f t="shared" si="23"/>
        <v>0</v>
      </c>
      <c r="N21" s="690">
        <f t="shared" si="24"/>
        <v>0</v>
      </c>
      <c r="O21" s="693">
        <f t="shared" si="12"/>
        <v>0</v>
      </c>
    </row>
    <row r="22" spans="1:16" x14ac:dyDescent="0.2">
      <c r="A22" s="663" t="s">
        <v>289</v>
      </c>
      <c r="B22" s="700">
        <f>FFM!N24</f>
        <v>55.504235493022627</v>
      </c>
      <c r="C22" s="690">
        <f t="shared" si="13"/>
        <v>422166.70153716812</v>
      </c>
      <c r="D22" s="691">
        <f t="shared" si="14"/>
        <v>1863085.3655125594</v>
      </c>
      <c r="E22" s="690">
        <f t="shared" si="15"/>
        <v>1134614.2351590551</v>
      </c>
      <c r="F22" s="691">
        <f t="shared" si="16"/>
        <v>2702522.0651821126</v>
      </c>
      <c r="G22" s="690">
        <f t="shared" si="17"/>
        <v>2065518.2865830699</v>
      </c>
      <c r="H22" s="690">
        <f t="shared" si="18"/>
        <v>1982816.5471803474</v>
      </c>
      <c r="I22" s="690">
        <f t="shared" si="19"/>
        <v>826326.76967354224</v>
      </c>
      <c r="J22" s="691">
        <f t="shared" si="20"/>
        <v>1797230.6187663493</v>
      </c>
      <c r="K22" s="690">
        <f t="shared" si="21"/>
        <v>673746.41300627415</v>
      </c>
      <c r="L22" s="691">
        <f t="shared" si="22"/>
        <v>14642.73135921368</v>
      </c>
      <c r="M22" s="690">
        <f t="shared" si="23"/>
        <v>1228820.1414369871</v>
      </c>
      <c r="N22" s="690">
        <f t="shared" si="24"/>
        <v>458644.58694678103</v>
      </c>
      <c r="O22" s="693">
        <f t="shared" si="12"/>
        <v>15170134.46234346</v>
      </c>
    </row>
    <row r="23" spans="1:16" x14ac:dyDescent="0.2">
      <c r="A23" s="663" t="s">
        <v>163</v>
      </c>
      <c r="B23" s="700">
        <f>FFM!N25</f>
        <v>0</v>
      </c>
      <c r="C23" s="690">
        <f t="shared" si="13"/>
        <v>0</v>
      </c>
      <c r="D23" s="691">
        <f t="shared" si="14"/>
        <v>0</v>
      </c>
      <c r="E23" s="690">
        <f t="shared" si="15"/>
        <v>0</v>
      </c>
      <c r="F23" s="691">
        <f t="shared" si="16"/>
        <v>0</v>
      </c>
      <c r="G23" s="690">
        <f t="shared" si="17"/>
        <v>0</v>
      </c>
      <c r="H23" s="690">
        <f t="shared" si="18"/>
        <v>0</v>
      </c>
      <c r="I23" s="690">
        <f t="shared" si="19"/>
        <v>0</v>
      </c>
      <c r="J23" s="691">
        <f t="shared" si="20"/>
        <v>0</v>
      </c>
      <c r="K23" s="690">
        <f t="shared" si="21"/>
        <v>0</v>
      </c>
      <c r="L23" s="691">
        <f t="shared" si="22"/>
        <v>0</v>
      </c>
      <c r="M23" s="690">
        <f t="shared" si="23"/>
        <v>0</v>
      </c>
      <c r="N23" s="690">
        <f t="shared" si="24"/>
        <v>0</v>
      </c>
      <c r="O23" s="693">
        <f t="shared" si="12"/>
        <v>0</v>
      </c>
    </row>
    <row r="24" spans="1:16" x14ac:dyDescent="0.2">
      <c r="A24" s="663" t="s">
        <v>164</v>
      </c>
      <c r="B24" s="700">
        <f>FFM!N26</f>
        <v>0</v>
      </c>
      <c r="C24" s="690">
        <f t="shared" si="13"/>
        <v>0</v>
      </c>
      <c r="D24" s="691">
        <f t="shared" si="14"/>
        <v>0</v>
      </c>
      <c r="E24" s="690">
        <f t="shared" si="15"/>
        <v>0</v>
      </c>
      <c r="F24" s="691">
        <f t="shared" si="16"/>
        <v>0</v>
      </c>
      <c r="G24" s="690">
        <f t="shared" si="17"/>
        <v>0</v>
      </c>
      <c r="H24" s="690">
        <f t="shared" si="18"/>
        <v>0</v>
      </c>
      <c r="I24" s="690">
        <f t="shared" si="19"/>
        <v>0</v>
      </c>
      <c r="J24" s="691">
        <f t="shared" si="20"/>
        <v>0</v>
      </c>
      <c r="K24" s="690">
        <f t="shared" si="21"/>
        <v>0</v>
      </c>
      <c r="L24" s="691">
        <f t="shared" si="22"/>
        <v>0</v>
      </c>
      <c r="M24" s="690">
        <f t="shared" si="23"/>
        <v>0</v>
      </c>
      <c r="N24" s="690">
        <f t="shared" si="24"/>
        <v>0</v>
      </c>
      <c r="O24" s="693">
        <f t="shared" si="12"/>
        <v>0</v>
      </c>
    </row>
    <row r="25" spans="1:16" x14ac:dyDescent="0.2">
      <c r="A25" s="663" t="s">
        <v>165</v>
      </c>
      <c r="B25" s="700">
        <f>FFM!N27</f>
        <v>21.448301338228312</v>
      </c>
      <c r="C25" s="690">
        <f t="shared" si="13"/>
        <v>163136.35435395443</v>
      </c>
      <c r="D25" s="691">
        <f t="shared" si="14"/>
        <v>719945.35161879566</v>
      </c>
      <c r="E25" s="690">
        <f t="shared" si="15"/>
        <v>438444.88266835141</v>
      </c>
      <c r="F25" s="691">
        <f t="shared" si="16"/>
        <v>1044325.8449082449</v>
      </c>
      <c r="G25" s="690">
        <f t="shared" si="17"/>
        <v>798170.77447763144</v>
      </c>
      <c r="H25" s="690">
        <f t="shared" si="18"/>
        <v>766212.63989296171</v>
      </c>
      <c r="I25" s="690">
        <f t="shared" si="19"/>
        <v>319314.47037102043</v>
      </c>
      <c r="J25" s="691">
        <f t="shared" si="20"/>
        <v>694497.33958477736</v>
      </c>
      <c r="K25" s="690">
        <f t="shared" si="21"/>
        <v>260353.39399505063</v>
      </c>
      <c r="L25" s="691">
        <f t="shared" si="22"/>
        <v>5658.3378154378997</v>
      </c>
      <c r="M25" s="690">
        <f t="shared" si="23"/>
        <v>474848.53092586115</v>
      </c>
      <c r="N25" s="690">
        <f t="shared" si="24"/>
        <v>177232.37191904811</v>
      </c>
      <c r="O25" s="693">
        <f t="shared" si="12"/>
        <v>5862140.2925311346</v>
      </c>
    </row>
    <row r="26" spans="1:16" ht="13.5" thickBot="1" x14ac:dyDescent="0.25">
      <c r="A26" s="663" t="s">
        <v>166</v>
      </c>
      <c r="B26" s="700">
        <f>FFM!N28</f>
        <v>0</v>
      </c>
      <c r="C26" s="690">
        <f t="shared" si="0"/>
        <v>0</v>
      </c>
      <c r="D26" s="691">
        <f t="shared" si="14"/>
        <v>0</v>
      </c>
      <c r="E26" s="690">
        <f t="shared" si="15"/>
        <v>0</v>
      </c>
      <c r="F26" s="691">
        <f t="shared" si="16"/>
        <v>0</v>
      </c>
      <c r="G26" s="690">
        <f t="shared" si="17"/>
        <v>0</v>
      </c>
      <c r="H26" s="690">
        <f t="shared" si="18"/>
        <v>0</v>
      </c>
      <c r="I26" s="690">
        <f t="shared" si="19"/>
        <v>0</v>
      </c>
      <c r="J26" s="691">
        <f t="shared" si="20"/>
        <v>0</v>
      </c>
      <c r="K26" s="690">
        <f t="shared" si="21"/>
        <v>0</v>
      </c>
      <c r="L26" s="691">
        <f t="shared" si="22"/>
        <v>0</v>
      </c>
      <c r="M26" s="690">
        <f t="shared" si="23"/>
        <v>0</v>
      </c>
      <c r="N26" s="690">
        <f t="shared" si="24"/>
        <v>0</v>
      </c>
      <c r="O26" s="693">
        <f t="shared" si="12"/>
        <v>0</v>
      </c>
    </row>
    <row r="27" spans="1:16" ht="13.5" thickBot="1" x14ac:dyDescent="0.25">
      <c r="A27" s="668" t="s">
        <v>290</v>
      </c>
      <c r="B27" s="702">
        <f>SUM(B7:B26)</f>
        <v>100</v>
      </c>
      <c r="C27" s="698">
        <f t="shared" ref="C27:N27" si="25">SUM(C7:C26)</f>
        <v>760602.67795281706</v>
      </c>
      <c r="D27" s="698">
        <f t="shared" si="25"/>
        <v>3356654.4047737867</v>
      </c>
      <c r="E27" s="698">
        <f t="shared" si="25"/>
        <v>2044193.9702091492</v>
      </c>
      <c r="F27" s="698">
        <f t="shared" si="25"/>
        <v>4869037.5449308613</v>
      </c>
      <c r="G27" s="698">
        <f t="shared" si="25"/>
        <v>3721370.5733190826</v>
      </c>
      <c r="H27" s="698">
        <f t="shared" si="25"/>
        <v>3572369.8012732835</v>
      </c>
      <c r="I27" s="698">
        <f t="shared" si="25"/>
        <v>1488763.4472101121</v>
      </c>
      <c r="J27" s="698">
        <f t="shared" si="25"/>
        <v>3238006.2580850739</v>
      </c>
      <c r="K27" s="698">
        <f t="shared" si="25"/>
        <v>1213864.8645849198</v>
      </c>
      <c r="L27" s="698">
        <f t="shared" si="25"/>
        <v>26381.286453453449</v>
      </c>
      <c r="M27" s="698">
        <f t="shared" si="25"/>
        <v>2213921.3891009465</v>
      </c>
      <c r="N27" s="698">
        <f t="shared" si="25"/>
        <v>826323.58210651646</v>
      </c>
      <c r="O27" s="698">
        <f t="shared" si="12"/>
        <v>27331489.799999997</v>
      </c>
    </row>
    <row r="28" spans="1:16" x14ac:dyDescent="0.2">
      <c r="A28" s="671"/>
      <c r="B28" s="671"/>
      <c r="C28" s="671"/>
      <c r="D28" s="671"/>
      <c r="E28" s="671"/>
      <c r="F28" s="671"/>
      <c r="G28" s="671"/>
      <c r="H28" s="671"/>
      <c r="I28" s="671"/>
      <c r="J28" s="671"/>
      <c r="K28" s="671"/>
      <c r="L28" s="671"/>
      <c r="M28" s="671"/>
      <c r="N28" s="671"/>
      <c r="O28" s="671"/>
      <c r="P28" s="667"/>
    </row>
    <row r="29" spans="1:16" x14ac:dyDescent="0.2">
      <c r="A29" s="672" t="s">
        <v>291</v>
      </c>
      <c r="M29" s="667"/>
      <c r="O29" s="667"/>
    </row>
    <row r="30" spans="1:16" x14ac:dyDescent="0.2">
      <c r="A30" s="658" t="s">
        <v>169</v>
      </c>
      <c r="B30" s="703"/>
      <c r="C30" s="667">
        <f>'X22.55 POE'!B22</f>
        <v>37966991.259842724</v>
      </c>
      <c r="D30" s="667">
        <f>'X22.55 POE'!C22</f>
        <v>52123002.015912622</v>
      </c>
      <c r="E30" s="667">
        <f>'X22.55 POE'!D22</f>
        <v>41389051.900697164</v>
      </c>
      <c r="F30" s="667">
        <f>'X22.55 POE'!E22</f>
        <v>54385926.149769537</v>
      </c>
      <c r="G30" s="667">
        <f>'X22.55 POE'!F22</f>
        <v>44677095.577730276</v>
      </c>
      <c r="H30" s="667">
        <f>'X22.55 POE'!G22</f>
        <v>46474113.337577611</v>
      </c>
      <c r="I30" s="667">
        <f>'X22.55 POE'!H22</f>
        <v>43628667.824033707</v>
      </c>
      <c r="J30" s="667">
        <f>'X22.55 POE'!I22</f>
        <v>44045725.193616912</v>
      </c>
      <c r="K30" s="667">
        <f>'X22.55 POE'!J22</f>
        <v>41134820.215283066</v>
      </c>
      <c r="L30" s="667">
        <f>'X22.55 POE'!K22</f>
        <v>37090165.621511512</v>
      </c>
      <c r="M30" s="667">
        <f>'X22.55 POE'!L22</f>
        <v>40621440.963669822</v>
      </c>
      <c r="N30" s="667">
        <f>'X22.55 POE'!M22</f>
        <v>40041509.940355055</v>
      </c>
      <c r="O30" s="667">
        <f>SUM(C30:N30)</f>
        <v>523578510.00000012</v>
      </c>
      <c r="P30" s="667"/>
    </row>
    <row r="31" spans="1:16" x14ac:dyDescent="0.2">
      <c r="A31" s="658" t="s">
        <v>367</v>
      </c>
      <c r="B31" s="704"/>
      <c r="C31" s="667">
        <f>'X22.55 POE'!B23</f>
        <v>35431649</v>
      </c>
      <c r="D31" s="667">
        <f>'X22.55 POE'!C23</f>
        <v>40934154</v>
      </c>
      <c r="E31" s="667">
        <f>'X22.55 POE'!D23</f>
        <v>34575072</v>
      </c>
      <c r="F31" s="667">
        <f>'X22.55 POE'!E23</f>
        <v>38155801</v>
      </c>
      <c r="G31" s="667">
        <f>'X22.55 POE'!F23</f>
        <v>32272527</v>
      </c>
      <c r="H31" s="667">
        <f>'X22.55 POE'!G23</f>
        <v>34566214</v>
      </c>
      <c r="I31" s="667">
        <f>'X22.55 POE'!H23</f>
        <v>38666123</v>
      </c>
      <c r="J31" s="667">
        <f>'X22.55 POE'!I23</f>
        <v>33252371</v>
      </c>
      <c r="K31" s="667">
        <f>'X22.55 POE'!J23</f>
        <v>37088604</v>
      </c>
      <c r="L31" s="667">
        <f>'X22.55 POE'!K23</f>
        <v>37002228</v>
      </c>
      <c r="M31" s="667">
        <f>'X22.55 POE'!L23</f>
        <v>33241703</v>
      </c>
      <c r="N31" s="667">
        <f>'X22.55 POE'!M23</f>
        <v>37287098</v>
      </c>
      <c r="O31" s="667">
        <f t="shared" ref="O31:O34" si="26">SUM(C31:N31)</f>
        <v>432473544</v>
      </c>
      <c r="P31" s="667"/>
    </row>
    <row r="32" spans="1:16" x14ac:dyDescent="0.2">
      <c r="A32" s="658" t="s">
        <v>356</v>
      </c>
      <c r="B32" s="704"/>
      <c r="C32" s="667">
        <f>C30-C31</f>
        <v>2535342.2598427236</v>
      </c>
      <c r="D32" s="667">
        <f t="shared" ref="D32:N32" si="27">D30-D31</f>
        <v>11188848.015912622</v>
      </c>
      <c r="E32" s="667">
        <f t="shared" si="27"/>
        <v>6813979.9006971642</v>
      </c>
      <c r="F32" s="667">
        <f t="shared" si="27"/>
        <v>16230125.149769537</v>
      </c>
      <c r="G32" s="667">
        <f t="shared" si="27"/>
        <v>12404568.577730276</v>
      </c>
      <c r="H32" s="667">
        <f t="shared" si="27"/>
        <v>11907899.337577611</v>
      </c>
      <c r="I32" s="667">
        <f t="shared" si="27"/>
        <v>4962544.8240337074</v>
      </c>
      <c r="J32" s="667">
        <f t="shared" si="27"/>
        <v>10793354.193616912</v>
      </c>
      <c r="K32" s="667">
        <f t="shared" si="27"/>
        <v>4046216.215283066</v>
      </c>
      <c r="L32" s="667">
        <f t="shared" si="27"/>
        <v>87937.621511511505</v>
      </c>
      <c r="M32" s="667">
        <f t="shared" si="27"/>
        <v>7379737.9636698216</v>
      </c>
      <c r="N32" s="667">
        <f t="shared" si="27"/>
        <v>2754411.940355055</v>
      </c>
      <c r="O32" s="667">
        <f t="shared" si="26"/>
        <v>91104966</v>
      </c>
      <c r="P32" s="667"/>
    </row>
    <row r="33" spans="1:16" x14ac:dyDescent="0.2">
      <c r="A33" s="658">
        <v>0.7</v>
      </c>
      <c r="C33" s="667">
        <f>C32*$A$33</f>
        <v>1774739.5818899064</v>
      </c>
      <c r="D33" s="667">
        <f t="shared" ref="D33:N33" si="28">D32*$A$33</f>
        <v>7832193.6111388346</v>
      </c>
      <c r="E33" s="667">
        <f t="shared" si="28"/>
        <v>4769785.9304880146</v>
      </c>
      <c r="F33" s="667">
        <f t="shared" si="28"/>
        <v>11361087.604838675</v>
      </c>
      <c r="G33" s="667">
        <f t="shared" si="28"/>
        <v>8683198.0044111926</v>
      </c>
      <c r="H33" s="667">
        <f t="shared" si="28"/>
        <v>8335529.5363043277</v>
      </c>
      <c r="I33" s="667">
        <f t="shared" si="28"/>
        <v>3473781.3768235948</v>
      </c>
      <c r="J33" s="667">
        <f t="shared" si="28"/>
        <v>7555347.9355318379</v>
      </c>
      <c r="K33" s="667">
        <f t="shared" si="28"/>
        <v>2832351.350698146</v>
      </c>
      <c r="L33" s="667">
        <f t="shared" si="28"/>
        <v>61556.335058058052</v>
      </c>
      <c r="M33" s="667">
        <f t="shared" si="28"/>
        <v>5165816.5745688751</v>
      </c>
      <c r="N33" s="667">
        <f t="shared" si="28"/>
        <v>1928088.3582485383</v>
      </c>
      <c r="O33" s="667">
        <f t="shared" si="26"/>
        <v>63773476.199999996</v>
      </c>
      <c r="P33" s="667"/>
    </row>
    <row r="34" spans="1:16" x14ac:dyDescent="0.2">
      <c r="A34" s="658">
        <v>0.3</v>
      </c>
      <c r="C34" s="667">
        <f>C32*$A$34</f>
        <v>760602.67795281706</v>
      </c>
      <c r="D34" s="667">
        <f t="shared" ref="D34:N34" si="29">D32*$A$34</f>
        <v>3356654.4047737867</v>
      </c>
      <c r="E34" s="667">
        <f t="shared" si="29"/>
        <v>2044193.9702091492</v>
      </c>
      <c r="F34" s="667">
        <f t="shared" si="29"/>
        <v>4869037.5449308613</v>
      </c>
      <c r="G34" s="667">
        <f t="shared" si="29"/>
        <v>3721370.5733190826</v>
      </c>
      <c r="H34" s="667">
        <f t="shared" si="29"/>
        <v>3572369.8012732831</v>
      </c>
      <c r="I34" s="667">
        <f t="shared" si="29"/>
        <v>1488763.4472101121</v>
      </c>
      <c r="J34" s="667">
        <f t="shared" si="29"/>
        <v>3238006.2580850734</v>
      </c>
      <c r="K34" s="667">
        <f t="shared" si="29"/>
        <v>1213864.8645849198</v>
      </c>
      <c r="L34" s="667">
        <f t="shared" si="29"/>
        <v>26381.286453453449</v>
      </c>
      <c r="M34" s="667">
        <f t="shared" si="29"/>
        <v>2213921.3891009465</v>
      </c>
      <c r="N34" s="667">
        <f t="shared" si="29"/>
        <v>826323.58210651646</v>
      </c>
      <c r="O34" s="667">
        <f t="shared" si="26"/>
        <v>27331489.799999997</v>
      </c>
      <c r="P34" s="667"/>
    </row>
  </sheetData>
  <mergeCells count="4">
    <mergeCell ref="A1:O1"/>
    <mergeCell ref="A2:O2"/>
    <mergeCell ref="A3:O3"/>
    <mergeCell ref="A4:O4"/>
  </mergeCells>
  <printOptions horizontalCentered="1"/>
  <pageMargins left="0.78740157480314965" right="0.78740157480314965" top="0.98425196850393704" bottom="0.98425196850393704" header="0" footer="0"/>
  <pageSetup paperSize="5" scale="95"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A1:AB63"/>
  <sheetViews>
    <sheetView zoomScaleNormal="100" workbookViewId="0">
      <selection sqref="A1:T1"/>
    </sheetView>
  </sheetViews>
  <sheetFormatPr baseColWidth="10" defaultRowHeight="15" x14ac:dyDescent="0.25"/>
  <cols>
    <col min="1" max="1" width="22.5703125" customWidth="1"/>
    <col min="2" max="2" width="12.140625" customWidth="1"/>
    <col min="3" max="4" width="14.5703125" bestFit="1" customWidth="1"/>
    <col min="5" max="5" width="17.42578125" customWidth="1"/>
    <col min="6" max="6" width="14.85546875" customWidth="1"/>
    <col min="7" max="7" width="18" style="10" customWidth="1"/>
    <col min="8" max="9" width="18.85546875" style="10" customWidth="1"/>
    <col min="10" max="11" width="16.42578125" customWidth="1"/>
    <col min="12" max="12" width="13.42578125" bestFit="1" customWidth="1"/>
    <col min="13" max="13" width="15.140625" customWidth="1"/>
    <col min="14" max="14" width="16.5703125" customWidth="1"/>
    <col min="15" max="15" width="16.140625" customWidth="1"/>
    <col min="16" max="16" width="13.28515625" customWidth="1"/>
    <col min="17" max="17" width="14.42578125" customWidth="1"/>
    <col min="18" max="18" width="13" customWidth="1"/>
    <col min="19" max="19" width="17.28515625" customWidth="1"/>
    <col min="20" max="20" width="16.5703125" bestFit="1" customWidth="1"/>
    <col min="21" max="21" width="14.85546875" hidden="1" customWidth="1"/>
    <col min="22" max="22" width="11.42578125" customWidth="1"/>
    <col min="23" max="24" width="11.42578125" hidden="1" customWidth="1"/>
    <col min="25" max="26" width="17.85546875" bestFit="1" customWidth="1"/>
    <col min="27" max="27" width="12.140625" bestFit="1" customWidth="1"/>
  </cols>
  <sheetData>
    <row r="1" spans="1:28" x14ac:dyDescent="0.25">
      <c r="A1" s="840" t="s">
        <v>398</v>
      </c>
      <c r="B1" s="840"/>
      <c r="C1" s="840"/>
      <c r="D1" s="840"/>
      <c r="E1" s="840"/>
      <c r="F1" s="840"/>
      <c r="G1" s="840"/>
      <c r="H1" s="840"/>
      <c r="I1" s="840"/>
      <c r="J1" s="840"/>
      <c r="K1" s="840"/>
      <c r="L1" s="840"/>
      <c r="M1" s="840"/>
      <c r="N1" s="840"/>
      <c r="O1" s="840"/>
      <c r="P1" s="840"/>
      <c r="Q1" s="840"/>
      <c r="R1" s="840"/>
      <c r="S1" s="840"/>
      <c r="T1" s="840"/>
    </row>
    <row r="2" spans="1:28" ht="15.75" thickBot="1" x14ac:dyDescent="0.3">
      <c r="A2" s="13"/>
      <c r="B2" s="13"/>
      <c r="C2" s="13"/>
      <c r="D2" s="13"/>
      <c r="E2" s="13"/>
      <c r="F2" s="13"/>
      <c r="G2" s="13"/>
      <c r="H2" s="13"/>
      <c r="I2" s="13"/>
      <c r="J2" s="10"/>
    </row>
    <row r="3" spans="1:28" ht="33.75" customHeight="1" x14ac:dyDescent="0.25">
      <c r="A3" s="877" t="s">
        <v>84</v>
      </c>
      <c r="B3" s="875" t="s">
        <v>244</v>
      </c>
      <c r="C3" s="891" t="s">
        <v>199</v>
      </c>
      <c r="D3" s="895" t="s">
        <v>67</v>
      </c>
      <c r="E3" s="896"/>
      <c r="F3" s="896"/>
      <c r="G3" s="897"/>
      <c r="H3" s="895" t="s">
        <v>68</v>
      </c>
      <c r="I3" s="896"/>
      <c r="J3" s="896"/>
      <c r="K3" s="896"/>
      <c r="L3" s="896"/>
      <c r="M3" s="897"/>
      <c r="N3" s="898" t="s">
        <v>69</v>
      </c>
      <c r="O3" s="899"/>
      <c r="P3" s="899"/>
      <c r="Q3" s="899"/>
      <c r="R3" s="899"/>
      <c r="S3" s="900"/>
      <c r="T3" s="875" t="s">
        <v>260</v>
      </c>
      <c r="U3" s="893" t="s">
        <v>308</v>
      </c>
    </row>
    <row r="4" spans="1:28" ht="15" customHeight="1" x14ac:dyDescent="0.25">
      <c r="A4" s="878"/>
      <c r="B4" s="876"/>
      <c r="C4" s="892"/>
      <c r="D4" s="515" t="s">
        <v>70</v>
      </c>
      <c r="E4" s="883" t="s">
        <v>246</v>
      </c>
      <c r="F4" s="516" t="s">
        <v>139</v>
      </c>
      <c r="G4" s="887" t="s">
        <v>204</v>
      </c>
      <c r="H4" s="879" t="s">
        <v>259</v>
      </c>
      <c r="I4" s="880"/>
      <c r="J4" s="880"/>
      <c r="K4" s="883" t="s">
        <v>202</v>
      </c>
      <c r="L4" s="516" t="s">
        <v>23</v>
      </c>
      <c r="M4" s="887" t="s">
        <v>249</v>
      </c>
      <c r="N4" s="885" t="s">
        <v>247</v>
      </c>
      <c r="O4" s="889" t="s">
        <v>252</v>
      </c>
      <c r="P4" s="889" t="s">
        <v>254</v>
      </c>
      <c r="Q4" s="889" t="s">
        <v>255</v>
      </c>
      <c r="R4" s="889" t="s">
        <v>205</v>
      </c>
      <c r="S4" s="887" t="s">
        <v>258</v>
      </c>
      <c r="T4" s="876"/>
      <c r="U4" s="893"/>
    </row>
    <row r="5" spans="1:28" x14ac:dyDescent="0.25">
      <c r="A5" s="878"/>
      <c r="B5" s="876"/>
      <c r="C5" s="892"/>
      <c r="D5" s="517" t="s">
        <v>412</v>
      </c>
      <c r="E5" s="894"/>
      <c r="F5" s="518" t="s">
        <v>143</v>
      </c>
      <c r="G5" s="888"/>
      <c r="H5" s="881"/>
      <c r="I5" s="882"/>
      <c r="J5" s="882"/>
      <c r="K5" s="884"/>
      <c r="L5" s="518" t="s">
        <v>203</v>
      </c>
      <c r="M5" s="888"/>
      <c r="N5" s="886"/>
      <c r="O5" s="890"/>
      <c r="P5" s="890"/>
      <c r="Q5" s="890"/>
      <c r="R5" s="894"/>
      <c r="S5" s="888"/>
      <c r="T5" s="876"/>
      <c r="U5" s="893"/>
    </row>
    <row r="6" spans="1:28" x14ac:dyDescent="0.25">
      <c r="A6" s="878"/>
      <c r="B6" s="876"/>
      <c r="C6" s="892"/>
      <c r="D6" s="517" t="s">
        <v>39</v>
      </c>
      <c r="E6" s="518" t="s">
        <v>38</v>
      </c>
      <c r="F6" s="519">
        <v>0.6</v>
      </c>
      <c r="G6" s="888"/>
      <c r="H6" s="523">
        <v>2018</v>
      </c>
      <c r="I6" s="615">
        <v>2019</v>
      </c>
      <c r="J6" s="524" t="s">
        <v>201</v>
      </c>
      <c r="K6" s="884"/>
      <c r="L6" s="519">
        <v>0.3</v>
      </c>
      <c r="M6" s="888"/>
      <c r="N6" s="886"/>
      <c r="O6" s="890"/>
      <c r="P6" s="890"/>
      <c r="Q6" s="890"/>
      <c r="R6" s="894"/>
      <c r="S6" s="888"/>
      <c r="T6" s="876"/>
      <c r="U6" s="893"/>
    </row>
    <row r="7" spans="1:28" ht="15.75" thickBot="1" x14ac:dyDescent="0.3">
      <c r="A7" s="878"/>
      <c r="B7" s="362" t="s">
        <v>71</v>
      </c>
      <c r="C7" s="362" t="s">
        <v>98</v>
      </c>
      <c r="D7" s="520" t="s">
        <v>72</v>
      </c>
      <c r="E7" s="521" t="s">
        <v>73</v>
      </c>
      <c r="F7" s="521" t="s">
        <v>74</v>
      </c>
      <c r="G7" s="522" t="s">
        <v>101</v>
      </c>
      <c r="H7" s="520" t="s">
        <v>75</v>
      </c>
      <c r="I7" s="521" t="s">
        <v>76</v>
      </c>
      <c r="J7" s="521" t="s">
        <v>200</v>
      </c>
      <c r="K7" s="525" t="s">
        <v>78</v>
      </c>
      <c r="L7" s="521" t="s">
        <v>79</v>
      </c>
      <c r="M7" s="522" t="s">
        <v>248</v>
      </c>
      <c r="N7" s="520" t="s">
        <v>250</v>
      </c>
      <c r="O7" s="521" t="s">
        <v>251</v>
      </c>
      <c r="P7" s="521" t="s">
        <v>253</v>
      </c>
      <c r="Q7" s="521" t="s">
        <v>256</v>
      </c>
      <c r="R7" s="526" t="s">
        <v>80</v>
      </c>
      <c r="S7" s="527" t="s">
        <v>257</v>
      </c>
      <c r="T7" s="361" t="s">
        <v>261</v>
      </c>
      <c r="U7" s="893"/>
      <c r="W7" s="79"/>
    </row>
    <row r="8" spans="1:28" s="5" customFormat="1" ht="16.5" customHeight="1" x14ac:dyDescent="0.25">
      <c r="A8" s="80" t="s">
        <v>46</v>
      </c>
      <c r="B8" s="81">
        <v>3.62</v>
      </c>
      <c r="C8" s="82">
        <f>$C$28*B8/100</f>
        <v>35350314.18282</v>
      </c>
      <c r="D8" s="83">
        <f>'CENSO 2020'!C10</f>
        <v>37232</v>
      </c>
      <c r="E8" s="84">
        <f>D8/$D$28*100</f>
        <v>3.0136241193535018</v>
      </c>
      <c r="F8" s="85">
        <f>E8*0.6</f>
        <v>1.8081744716121011</v>
      </c>
      <c r="G8" s="86">
        <f>Datos!$I$12*FGP!F8/100</f>
        <v>8386558.6807195405</v>
      </c>
      <c r="H8" s="87">
        <f>'Predial y Agua'!D9</f>
        <v>11206191</v>
      </c>
      <c r="I8" s="88">
        <f>'Predial y Agua'!G9</f>
        <v>11337932</v>
      </c>
      <c r="J8" s="84">
        <f>I8/H8</f>
        <v>1.0117560908965411</v>
      </c>
      <c r="K8" s="84">
        <f>J8/$J$28*100</f>
        <v>4.7940132358696488</v>
      </c>
      <c r="L8" s="84">
        <f>K8*0.3</f>
        <v>1.4382039707608947</v>
      </c>
      <c r="M8" s="89">
        <f>Datos!$I$12*FGP!L8/100</f>
        <v>6670585.2698365077</v>
      </c>
      <c r="N8" s="90">
        <f>G8+M8</f>
        <v>15057143.950556047</v>
      </c>
      <c r="O8" s="84">
        <f>L8+F8</f>
        <v>3.246378442372996</v>
      </c>
      <c r="P8" s="84">
        <f>MINVERSE(O8)</f>
        <v>0.30803555954771339</v>
      </c>
      <c r="Q8" s="84">
        <f>P8/P$28*100</f>
        <v>4.3373877853929619</v>
      </c>
      <c r="R8" s="84">
        <f>Q8*0.1</f>
        <v>0.43373877853929621</v>
      </c>
      <c r="S8" s="91">
        <f>Datos!$I$12*FGP!R8/100</f>
        <v>2011739.3401093078</v>
      </c>
      <c r="T8" s="92">
        <f>C8+G8+M8+S8</f>
        <v>52419197.473485358</v>
      </c>
      <c r="U8" s="93">
        <f>R8+L8+F8</f>
        <v>3.6801172209122921</v>
      </c>
      <c r="V8" s="94"/>
      <c r="W8" s="95">
        <v>0.97425313870244945</v>
      </c>
      <c r="X8" s="95">
        <f t="shared" ref="X8:X27" si="0">J8-W8</f>
        <v>3.750295219409161E-2</v>
      </c>
      <c r="Y8" s="96"/>
      <c r="Z8" s="96"/>
      <c r="AA8" s="94"/>
      <c r="AB8" s="94"/>
    </row>
    <row r="9" spans="1:28" s="5" customFormat="1" ht="16.5" customHeight="1" x14ac:dyDescent="0.25">
      <c r="A9" s="80" t="s">
        <v>47</v>
      </c>
      <c r="B9" s="97">
        <v>2.4700000000000002</v>
      </c>
      <c r="C9" s="82">
        <f t="shared" ref="C9:C27" si="1">$C$28*B9/100</f>
        <v>24120241.997670002</v>
      </c>
      <c r="D9" s="83">
        <f>'CENSO 2020'!C11</f>
        <v>15393</v>
      </c>
      <c r="E9" s="84">
        <f t="shared" ref="E9:E27" si="2">D9/$D$28*100</f>
        <v>1.2459367229589724</v>
      </c>
      <c r="F9" s="85">
        <f t="shared" ref="F9:F27" si="3">E9*0.6</f>
        <v>0.74756203377538344</v>
      </c>
      <c r="G9" s="86">
        <f>Datos!$I$12*FGP!F9/100</f>
        <v>3467294.2031670576</v>
      </c>
      <c r="H9" s="87">
        <f>'Predial y Agua'!D10</f>
        <v>6496081</v>
      </c>
      <c r="I9" s="88">
        <f>'Predial y Agua'!G10</f>
        <v>4476557</v>
      </c>
      <c r="J9" s="84">
        <f t="shared" ref="J9:J27" si="4">I9/H9</f>
        <v>0.68911656120051457</v>
      </c>
      <c r="K9" s="84">
        <f t="shared" ref="K9:K27" si="5">J9/$J$28*100</f>
        <v>3.2652473705641989</v>
      </c>
      <c r="L9" s="98">
        <f t="shared" ref="L9:L27" si="6">K9*0.3</f>
        <v>0.97957421116925958</v>
      </c>
      <c r="M9" s="89">
        <f>Datos!$I$12*FGP!L9/100</f>
        <v>4543398.1803570827</v>
      </c>
      <c r="N9" s="99">
        <f t="shared" ref="N9:N28" si="7">G9+M9</f>
        <v>8010692.3835241403</v>
      </c>
      <c r="O9" s="98">
        <f t="shared" ref="O9:O27" si="8">L9+F9</f>
        <v>1.727136244944643</v>
      </c>
      <c r="P9" s="98">
        <f t="shared" ref="P9:P27" si="9">MINVERSE(O9)</f>
        <v>0.57899311819030885</v>
      </c>
      <c r="Q9" s="98">
        <f t="shared" ref="Q9:Q27" si="10">P9/P$28*100</f>
        <v>8.1526875739689952</v>
      </c>
      <c r="R9" s="98">
        <f t="shared" ref="R9:R27" si="11">Q9*0.1</f>
        <v>0.81526875739689952</v>
      </c>
      <c r="S9" s="91">
        <f>Datos!$I$12*FGP!R9/100</f>
        <v>3781327.1793238614</v>
      </c>
      <c r="T9" s="92">
        <f t="shared" ref="T9:T27" si="12">C9+G9+M9+S9</f>
        <v>35912261.560518004</v>
      </c>
      <c r="U9" s="93">
        <f t="shared" ref="U9:U28" si="13">R9+L9+F9</f>
        <v>2.5424050023415425</v>
      </c>
      <c r="V9" s="94"/>
      <c r="W9" s="95">
        <v>1.0958106186784708</v>
      </c>
      <c r="X9" s="95">
        <f t="shared" si="0"/>
        <v>-0.40669405747795628</v>
      </c>
      <c r="Y9" s="96"/>
      <c r="Z9" s="96"/>
      <c r="AA9" s="94"/>
      <c r="AB9" s="94"/>
    </row>
    <row r="10" spans="1:28" s="5" customFormat="1" ht="16.5" customHeight="1" x14ac:dyDescent="0.25">
      <c r="A10" s="80" t="s">
        <v>48</v>
      </c>
      <c r="B10" s="97">
        <v>2.33</v>
      </c>
      <c r="C10" s="82">
        <f t="shared" si="1"/>
        <v>22753102.77513</v>
      </c>
      <c r="D10" s="83">
        <f>'CENSO 2020'!C12</f>
        <v>11536</v>
      </c>
      <c r="E10" s="84">
        <f t="shared" si="2"/>
        <v>0.93374430169912959</v>
      </c>
      <c r="F10" s="85">
        <f t="shared" si="3"/>
        <v>0.56024658101947777</v>
      </c>
      <c r="G10" s="86">
        <f>Datos!$I$12*FGP!F10/100</f>
        <v>2598499.7029646705</v>
      </c>
      <c r="H10" s="87">
        <f>'Predial y Agua'!D11</f>
        <v>3306953</v>
      </c>
      <c r="I10" s="88">
        <f>'Predial y Agua'!G11</f>
        <v>3050109</v>
      </c>
      <c r="J10" s="84">
        <f t="shared" si="4"/>
        <v>0.92233212869974268</v>
      </c>
      <c r="K10" s="84">
        <f t="shared" si="5"/>
        <v>4.3702948493606257</v>
      </c>
      <c r="L10" s="98">
        <f t="shared" si="6"/>
        <v>1.3110884548081876</v>
      </c>
      <c r="M10" s="89">
        <f>Datos!$I$12*FGP!L10/100</f>
        <v>6081006.2493911758</v>
      </c>
      <c r="N10" s="99">
        <f t="shared" si="7"/>
        <v>8679505.9523558468</v>
      </c>
      <c r="O10" s="98">
        <f t="shared" si="8"/>
        <v>1.8713350358276655</v>
      </c>
      <c r="P10" s="98">
        <f t="shared" si="9"/>
        <v>0.53437785370042723</v>
      </c>
      <c r="Q10" s="98">
        <f t="shared" si="10"/>
        <v>7.5244688594653066</v>
      </c>
      <c r="R10" s="98">
        <f t="shared" si="11"/>
        <v>0.75244688594653075</v>
      </c>
      <c r="S10" s="91">
        <f>Datos!$I$12*FGP!R10/100</f>
        <v>3489950.8107141391</v>
      </c>
      <c r="T10" s="92">
        <f t="shared" si="12"/>
        <v>34922559.538199984</v>
      </c>
      <c r="U10" s="93">
        <f t="shared" si="13"/>
        <v>2.6237819217741962</v>
      </c>
      <c r="V10" s="94"/>
      <c r="W10" s="95">
        <v>1.0258439054458339</v>
      </c>
      <c r="X10" s="95">
        <f t="shared" si="0"/>
        <v>-0.10351177674609124</v>
      </c>
      <c r="Y10" s="96"/>
      <c r="Z10" s="96"/>
      <c r="AA10" s="94"/>
      <c r="AB10" s="94"/>
    </row>
    <row r="11" spans="1:28" s="5" customFormat="1" ht="16.5" customHeight="1" x14ac:dyDescent="0.25">
      <c r="A11" s="80" t="s">
        <v>49</v>
      </c>
      <c r="B11" s="97">
        <v>2.81</v>
      </c>
      <c r="C11" s="82">
        <f t="shared" si="1"/>
        <v>27440437.252410002</v>
      </c>
      <c r="D11" s="83">
        <f>'CENSO 2020'!C13</f>
        <v>187632</v>
      </c>
      <c r="E11" s="84">
        <f t="shared" si="2"/>
        <v>15.187266887691669</v>
      </c>
      <c r="F11" s="85">
        <f t="shared" si="3"/>
        <v>9.1123601326150006</v>
      </c>
      <c r="G11" s="86">
        <f>Datos!$I$12*FGP!F11/100</f>
        <v>42264363.407304697</v>
      </c>
      <c r="H11" s="87">
        <f>'Predial y Agua'!D12</f>
        <v>293520012</v>
      </c>
      <c r="I11" s="88">
        <f>'Predial y Agua'!G12</f>
        <v>323649261</v>
      </c>
      <c r="J11" s="84">
        <f t="shared" si="4"/>
        <v>1.102648023195093</v>
      </c>
      <c r="K11" s="84">
        <f t="shared" si="5"/>
        <v>5.2246873186783906</v>
      </c>
      <c r="L11" s="98">
        <f t="shared" si="6"/>
        <v>1.5674061956035172</v>
      </c>
      <c r="M11" s="89">
        <f>Datos!$I$12*FGP!L11/100</f>
        <v>7269842.72940904</v>
      </c>
      <c r="N11" s="99">
        <f t="shared" si="7"/>
        <v>49534206.136713736</v>
      </c>
      <c r="O11" s="98">
        <f t="shared" si="8"/>
        <v>10.679766328218518</v>
      </c>
      <c r="P11" s="98">
        <f t="shared" si="9"/>
        <v>9.3635007477435056E-2</v>
      </c>
      <c r="Q11" s="98">
        <f t="shared" si="10"/>
        <v>1.3184560195391906</v>
      </c>
      <c r="R11" s="98">
        <f t="shared" si="11"/>
        <v>0.13184560195391906</v>
      </c>
      <c r="S11" s="91">
        <f>Datos!$I$12*FGP!R11/100</f>
        <v>611517.80148488912</v>
      </c>
      <c r="T11" s="92">
        <f t="shared" si="12"/>
        <v>77586161.190608621</v>
      </c>
      <c r="U11" s="93">
        <f t="shared" si="13"/>
        <v>10.811611930172436</v>
      </c>
      <c r="V11" s="94"/>
      <c r="W11" s="95">
        <v>1.2368625473905901</v>
      </c>
      <c r="X11" s="95">
        <f t="shared" si="0"/>
        <v>-0.13421452419549706</v>
      </c>
      <c r="Y11" s="96"/>
      <c r="Z11" s="96"/>
      <c r="AA11" s="94"/>
      <c r="AB11" s="94"/>
    </row>
    <row r="12" spans="1:28" s="5" customFormat="1" ht="16.5" customHeight="1" x14ac:dyDescent="0.25">
      <c r="A12" s="80" t="s">
        <v>50</v>
      </c>
      <c r="B12" s="97">
        <v>4.6399999999999997</v>
      </c>
      <c r="C12" s="82">
        <f t="shared" si="1"/>
        <v>45310899.947039992</v>
      </c>
      <c r="D12" s="83">
        <f>'CENSO 2020'!C14</f>
        <v>77436</v>
      </c>
      <c r="E12" s="84">
        <f t="shared" si="2"/>
        <v>6.2678071902196431</v>
      </c>
      <c r="F12" s="85">
        <f t="shared" si="3"/>
        <v>3.7606843141317858</v>
      </c>
      <c r="G12" s="86">
        <f>Datos!$I$12*FGP!F12/100</f>
        <v>17442564.406967077</v>
      </c>
      <c r="H12" s="87">
        <f>'Predial y Agua'!D13</f>
        <v>26126480</v>
      </c>
      <c r="I12" s="88">
        <f>'Predial y Agua'!G13</f>
        <v>60010155</v>
      </c>
      <c r="J12" s="84">
        <f t="shared" si="4"/>
        <v>2.2969093042767339</v>
      </c>
      <c r="K12" s="84">
        <f t="shared" si="5"/>
        <v>10.883466583865419</v>
      </c>
      <c r="L12" s="98">
        <f t="shared" si="6"/>
        <v>3.2650399751596253</v>
      </c>
      <c r="M12" s="89">
        <f>Datos!$I$12*FGP!L12/100</f>
        <v>15143698.673147449</v>
      </c>
      <c r="N12" s="99">
        <f t="shared" si="7"/>
        <v>32586263.080114529</v>
      </c>
      <c r="O12" s="98">
        <f t="shared" si="8"/>
        <v>7.0257242892914107</v>
      </c>
      <c r="P12" s="98">
        <f t="shared" si="9"/>
        <v>0.14233407956588864</v>
      </c>
      <c r="Q12" s="98">
        <f t="shared" si="10"/>
        <v>2.0041780210723017</v>
      </c>
      <c r="R12" s="98">
        <f t="shared" si="11"/>
        <v>0.20041780210723018</v>
      </c>
      <c r="S12" s="91">
        <f>Datos!$I$12*FGP!R12/100</f>
        <v>929564.97529498325</v>
      </c>
      <c r="T12" s="92">
        <f t="shared" si="12"/>
        <v>78826728.002449498</v>
      </c>
      <c r="U12" s="93">
        <f t="shared" si="13"/>
        <v>7.2261420913986409</v>
      </c>
      <c r="V12" s="94"/>
      <c r="W12" s="95">
        <v>0.59920521048482089</v>
      </c>
      <c r="X12" s="95">
        <f t="shared" si="0"/>
        <v>1.697704093791913</v>
      </c>
      <c r="Y12" s="96"/>
      <c r="Z12" s="96"/>
      <c r="AA12" s="94"/>
      <c r="AB12" s="94"/>
    </row>
    <row r="13" spans="1:28" s="5" customFormat="1" ht="16.5" customHeight="1" x14ac:dyDescent="0.25">
      <c r="A13" s="80" t="s">
        <v>51</v>
      </c>
      <c r="B13" s="97">
        <v>1.5</v>
      </c>
      <c r="C13" s="82">
        <f t="shared" si="1"/>
        <v>14647920.241500001</v>
      </c>
      <c r="D13" s="83">
        <f>'CENSO 2020'!C15</f>
        <v>47550</v>
      </c>
      <c r="E13" s="84">
        <f t="shared" si="2"/>
        <v>3.8487813406547868</v>
      </c>
      <c r="F13" s="85">
        <f t="shared" si="3"/>
        <v>2.3092688043928722</v>
      </c>
      <c r="G13" s="86">
        <f>Datos!$I$12*FGP!F13/100</f>
        <v>10710702.225725563</v>
      </c>
      <c r="H13" s="87">
        <f>'Predial y Agua'!D14</f>
        <v>115798</v>
      </c>
      <c r="I13" s="88">
        <f>'Predial y Agua'!G14</f>
        <v>94277</v>
      </c>
      <c r="J13" s="84">
        <f t="shared" si="4"/>
        <v>0.81415050346292683</v>
      </c>
      <c r="K13" s="84">
        <f t="shared" si="5"/>
        <v>3.857696854715869</v>
      </c>
      <c r="L13" s="98">
        <f t="shared" si="6"/>
        <v>1.1573090564147606</v>
      </c>
      <c r="M13" s="89">
        <f>Datos!$I$12*FGP!L13/100</f>
        <v>5367756.5222437764</v>
      </c>
      <c r="N13" s="99">
        <f t="shared" si="7"/>
        <v>16078458.747969341</v>
      </c>
      <c r="O13" s="98">
        <f t="shared" si="8"/>
        <v>3.4665778608076327</v>
      </c>
      <c r="P13" s="98">
        <f t="shared" si="9"/>
        <v>0.28846892819162673</v>
      </c>
      <c r="Q13" s="98">
        <f t="shared" si="10"/>
        <v>4.0618739194945297</v>
      </c>
      <c r="R13" s="98">
        <f t="shared" si="11"/>
        <v>0.40618739194945297</v>
      </c>
      <c r="S13" s="91">
        <f>Datos!$I$12*FGP!R13/100</f>
        <v>1883952.2686742686</v>
      </c>
      <c r="T13" s="92">
        <f t="shared" si="12"/>
        <v>32610331.258143611</v>
      </c>
      <c r="U13" s="93">
        <f t="shared" si="13"/>
        <v>3.8727652527570857</v>
      </c>
      <c r="V13" s="94"/>
      <c r="W13" s="95">
        <v>5.0856642738427809</v>
      </c>
      <c r="X13" s="95">
        <f t="shared" si="0"/>
        <v>-4.2715137703798538</v>
      </c>
      <c r="Y13" s="96"/>
      <c r="Z13" s="96"/>
      <c r="AA13" s="94"/>
      <c r="AB13" s="94"/>
    </row>
    <row r="14" spans="1:28" s="5" customFormat="1" ht="16.5" customHeight="1" x14ac:dyDescent="0.25">
      <c r="A14" s="80" t="s">
        <v>52</v>
      </c>
      <c r="B14" s="97">
        <v>1.53</v>
      </c>
      <c r="C14" s="82">
        <f t="shared" si="1"/>
        <v>14940878.646330001</v>
      </c>
      <c r="D14" s="83">
        <f>'CENSO 2020'!C16</f>
        <v>12230</v>
      </c>
      <c r="E14" s="84">
        <f t="shared" si="2"/>
        <v>0.98991789266473262</v>
      </c>
      <c r="F14" s="85">
        <f t="shared" si="3"/>
        <v>0.5939507355988396</v>
      </c>
      <c r="G14" s="86">
        <f>Datos!$I$12*FGP!F14/100</f>
        <v>2754824.1476471843</v>
      </c>
      <c r="H14" s="87">
        <f>'Predial y Agua'!D15</f>
        <v>92213</v>
      </c>
      <c r="I14" s="88">
        <f>'Predial y Agua'!G15</f>
        <v>99583</v>
      </c>
      <c r="J14" s="84">
        <f t="shared" si="4"/>
        <v>1.079923655016104</v>
      </c>
      <c r="K14" s="84">
        <f t="shared" si="5"/>
        <v>5.1170122349234575</v>
      </c>
      <c r="L14" s="98">
        <f t="shared" si="6"/>
        <v>1.5351036704770371</v>
      </c>
      <c r="M14" s="89">
        <f>Datos!$I$12*FGP!L14/100</f>
        <v>7120019.2324170088</v>
      </c>
      <c r="N14" s="99">
        <f t="shared" si="7"/>
        <v>9874843.3800641932</v>
      </c>
      <c r="O14" s="98">
        <f t="shared" si="8"/>
        <v>2.1290544060758769</v>
      </c>
      <c r="P14" s="98">
        <f t="shared" si="9"/>
        <v>0.46969208355888359</v>
      </c>
      <c r="Q14" s="98">
        <f t="shared" si="10"/>
        <v>6.6136413247721588</v>
      </c>
      <c r="R14" s="98">
        <f t="shared" si="11"/>
        <v>0.66136413247721593</v>
      </c>
      <c r="S14" s="91">
        <f>Datos!$I$12*FGP!R14/100</f>
        <v>3067496.6345466808</v>
      </c>
      <c r="T14" s="92">
        <f t="shared" si="12"/>
        <v>27883218.660940878</v>
      </c>
      <c r="U14" s="93">
        <f t="shared" si="13"/>
        <v>2.7904185385530926</v>
      </c>
      <c r="V14" s="94"/>
      <c r="W14" s="95">
        <v>0.76323116375625843</v>
      </c>
      <c r="X14" s="95">
        <f t="shared" si="0"/>
        <v>0.31669249125984555</v>
      </c>
      <c r="Y14" s="96"/>
      <c r="Z14" s="96"/>
      <c r="AA14" s="94"/>
      <c r="AB14" s="94"/>
    </row>
    <row r="15" spans="1:28" s="5" customFormat="1" ht="16.5" customHeight="1" x14ac:dyDescent="0.25">
      <c r="A15" s="80" t="s">
        <v>53</v>
      </c>
      <c r="B15" s="97">
        <v>3.16</v>
      </c>
      <c r="C15" s="82">
        <f t="shared" si="1"/>
        <v>30858285.308760002</v>
      </c>
      <c r="D15" s="83">
        <f>'CENSO 2020'!C17</f>
        <v>29299</v>
      </c>
      <c r="E15" s="84">
        <f t="shared" si="2"/>
        <v>2.3715130283878989</v>
      </c>
      <c r="F15" s="85">
        <f t="shared" si="3"/>
        <v>1.4229078170327394</v>
      </c>
      <c r="G15" s="86">
        <f>Datos!$I$12*FGP!F15/100</f>
        <v>6599639.6322089015</v>
      </c>
      <c r="H15" s="87">
        <f>'Predial y Agua'!D16</f>
        <v>11680521</v>
      </c>
      <c r="I15" s="88">
        <f>'Predial y Agua'!G16</f>
        <v>11883725</v>
      </c>
      <c r="J15" s="84">
        <f t="shared" si="4"/>
        <v>1.017396826734013</v>
      </c>
      <c r="K15" s="84">
        <f t="shared" si="5"/>
        <v>4.8207407866184884</v>
      </c>
      <c r="L15" s="98">
        <f t="shared" si="6"/>
        <v>1.4462222359855466</v>
      </c>
      <c r="M15" s="89">
        <f>Datos!$I$12*FGP!L15/100</f>
        <v>6707775.0725241657</v>
      </c>
      <c r="N15" s="99">
        <f t="shared" si="7"/>
        <v>13307414.704733066</v>
      </c>
      <c r="O15" s="98">
        <f t="shared" si="8"/>
        <v>2.8691300530182859</v>
      </c>
      <c r="P15" s="98">
        <f t="shared" si="9"/>
        <v>0.34853770359695391</v>
      </c>
      <c r="Q15" s="98">
        <f t="shared" si="10"/>
        <v>4.9076904645360537</v>
      </c>
      <c r="R15" s="98">
        <f t="shared" si="11"/>
        <v>0.49076904645360542</v>
      </c>
      <c r="S15" s="91">
        <f>Datos!$I$12*FGP!R15/100</f>
        <v>2276253.4652391062</v>
      </c>
      <c r="T15" s="92">
        <f t="shared" si="12"/>
        <v>46441953.478732176</v>
      </c>
      <c r="U15" s="93">
        <f t="shared" si="13"/>
        <v>3.3598990994718916</v>
      </c>
      <c r="V15" s="94"/>
      <c r="W15" s="95">
        <v>1.5455894402307131</v>
      </c>
      <c r="X15" s="95">
        <f t="shared" si="0"/>
        <v>-0.5281926134967001</v>
      </c>
      <c r="Y15" s="96"/>
      <c r="Z15" s="96"/>
      <c r="AA15" s="94"/>
      <c r="AB15" s="94"/>
    </row>
    <row r="16" spans="1:28" s="5" customFormat="1" ht="16.5" customHeight="1" x14ac:dyDescent="0.25">
      <c r="A16" s="80" t="s">
        <v>54</v>
      </c>
      <c r="B16" s="97">
        <v>2.81</v>
      </c>
      <c r="C16" s="82">
        <f t="shared" si="1"/>
        <v>27440437.252410002</v>
      </c>
      <c r="D16" s="83">
        <f>'CENSO 2020'!C18</f>
        <v>19321</v>
      </c>
      <c r="E16" s="84">
        <f t="shared" si="2"/>
        <v>1.563876010153336</v>
      </c>
      <c r="F16" s="85">
        <f t="shared" si="3"/>
        <v>0.93832560609200155</v>
      </c>
      <c r="G16" s="86">
        <f>Datos!$I$12*FGP!F16/100</f>
        <v>4352081.5500156377</v>
      </c>
      <c r="H16" s="87">
        <f>'Predial y Agua'!D17</f>
        <v>3420820</v>
      </c>
      <c r="I16" s="88">
        <f>'Predial y Agua'!G17</f>
        <v>4290832</v>
      </c>
      <c r="J16" s="84">
        <f t="shared" si="4"/>
        <v>1.254328494337615</v>
      </c>
      <c r="K16" s="84">
        <f t="shared" si="5"/>
        <v>5.9433962968826552</v>
      </c>
      <c r="L16" s="98">
        <f t="shared" si="6"/>
        <v>1.7830188890647964</v>
      </c>
      <c r="M16" s="89">
        <f>Datos!$I$12*FGP!L16/100</f>
        <v>8269883.6736929426</v>
      </c>
      <c r="N16" s="99">
        <f t="shared" si="7"/>
        <v>12621965.223708581</v>
      </c>
      <c r="O16" s="98">
        <f t="shared" si="8"/>
        <v>2.721344495156798</v>
      </c>
      <c r="P16" s="98">
        <f t="shared" si="9"/>
        <v>0.36746542077995242</v>
      </c>
      <c r="Q16" s="98">
        <f t="shared" si="10"/>
        <v>5.1742079063387214</v>
      </c>
      <c r="R16" s="98">
        <f t="shared" si="11"/>
        <v>0.51742079063387214</v>
      </c>
      <c r="S16" s="91">
        <f>Datos!$I$12*FGP!R16/100</f>
        <v>2399867.8730412768</v>
      </c>
      <c r="T16" s="92">
        <f t="shared" si="12"/>
        <v>42462270.349159859</v>
      </c>
      <c r="U16" s="93">
        <f t="shared" si="13"/>
        <v>3.2387652857906701</v>
      </c>
      <c r="V16" s="94"/>
      <c r="W16" s="95">
        <v>1.3217513416832607</v>
      </c>
      <c r="X16" s="95">
        <f t="shared" si="0"/>
        <v>-6.7422847345645742E-2</v>
      </c>
      <c r="Y16" s="96"/>
      <c r="Z16" s="96"/>
      <c r="AA16" s="94"/>
      <c r="AB16" s="94"/>
    </row>
    <row r="17" spans="1:28" s="5" customFormat="1" ht="16.5" customHeight="1" x14ac:dyDescent="0.25">
      <c r="A17" s="80" t="s">
        <v>55</v>
      </c>
      <c r="B17" s="97">
        <v>1.6</v>
      </c>
      <c r="C17" s="82">
        <f t="shared" si="1"/>
        <v>15624448.257600002</v>
      </c>
      <c r="D17" s="83">
        <f>'CENSO 2020'!C19</f>
        <v>13719</v>
      </c>
      <c r="E17" s="84">
        <f t="shared" si="2"/>
        <v>1.1104401937422297</v>
      </c>
      <c r="F17" s="85">
        <f t="shared" si="3"/>
        <v>0.66626411624533777</v>
      </c>
      <c r="G17" s="86">
        <f>Datos!$I$12*FGP!F17/100</f>
        <v>3090223.4244948262</v>
      </c>
      <c r="H17" s="87">
        <f>'Predial y Agua'!D18</f>
        <v>2366788</v>
      </c>
      <c r="I17" s="88">
        <f>'Predial y Agua'!G18</f>
        <v>561068</v>
      </c>
      <c r="J17" s="84">
        <f t="shared" si="4"/>
        <v>0.23705883247675752</v>
      </c>
      <c r="K17" s="84">
        <f t="shared" si="5"/>
        <v>1.1232580567578638</v>
      </c>
      <c r="L17" s="98">
        <f t="shared" si="6"/>
        <v>0.33697741702735912</v>
      </c>
      <c r="M17" s="89">
        <f>Datos!$I$12*FGP!L17/100</f>
        <v>1562947.0089009821</v>
      </c>
      <c r="N17" s="99">
        <f t="shared" si="7"/>
        <v>4653170.4333958086</v>
      </c>
      <c r="O17" s="98">
        <f t="shared" si="8"/>
        <v>1.0032415332726969</v>
      </c>
      <c r="P17" s="98">
        <f t="shared" si="9"/>
        <v>0.99676894031477881</v>
      </c>
      <c r="Q17" s="98">
        <f t="shared" si="10"/>
        <v>14.035306290378907</v>
      </c>
      <c r="R17" s="98">
        <f t="shared" si="11"/>
        <v>1.4035306290378908</v>
      </c>
      <c r="S17" s="91">
        <f>Datos!$I$12*FGP!R17/100</f>
        <v>6509765.603602997</v>
      </c>
      <c r="T17" s="92">
        <f t="shared" si="12"/>
        <v>26787384.294598807</v>
      </c>
      <c r="U17" s="93">
        <f t="shared" si="13"/>
        <v>2.4067721623105878</v>
      </c>
      <c r="V17" s="94"/>
      <c r="W17" s="95">
        <v>1.0641937928415424</v>
      </c>
      <c r="X17" s="95">
        <f t="shared" si="0"/>
        <v>-0.82713496036478484</v>
      </c>
      <c r="Y17" s="96"/>
      <c r="Z17" s="96"/>
      <c r="AA17" s="94"/>
      <c r="AB17" s="94"/>
    </row>
    <row r="18" spans="1:28" s="5" customFormat="1" ht="16.5" customHeight="1" x14ac:dyDescent="0.25">
      <c r="A18" s="80" t="s">
        <v>56</v>
      </c>
      <c r="B18" s="97">
        <v>2.84</v>
      </c>
      <c r="C18" s="82">
        <f t="shared" si="1"/>
        <v>27733395.65724</v>
      </c>
      <c r="D18" s="83">
        <f>'CENSO 2020'!C20</f>
        <v>33567</v>
      </c>
      <c r="E18" s="84">
        <f t="shared" si="2"/>
        <v>2.7169725186489848</v>
      </c>
      <c r="F18" s="85">
        <f t="shared" si="3"/>
        <v>1.6301835111893908</v>
      </c>
      <c r="G18" s="86">
        <f>Datos!$I$12*FGP!F18/100</f>
        <v>7561012.4418702396</v>
      </c>
      <c r="H18" s="87">
        <f>'Predial y Agua'!D19</f>
        <v>2337928</v>
      </c>
      <c r="I18" s="88">
        <f>'Predial y Agua'!G19</f>
        <v>2522032</v>
      </c>
      <c r="J18" s="84">
        <f t="shared" si="4"/>
        <v>1.0787466508806087</v>
      </c>
      <c r="K18" s="84">
        <f t="shared" si="5"/>
        <v>5.1114352253506885</v>
      </c>
      <c r="L18" s="98">
        <f t="shared" si="6"/>
        <v>1.5334305676052065</v>
      </c>
      <c r="M18" s="89">
        <f>Datos!$I$12*FGP!L18/100</f>
        <v>7112259.1541536665</v>
      </c>
      <c r="N18" s="99">
        <f t="shared" si="7"/>
        <v>14673271.596023906</v>
      </c>
      <c r="O18" s="98">
        <f t="shared" si="8"/>
        <v>3.1636140787945974</v>
      </c>
      <c r="P18" s="98">
        <f t="shared" si="9"/>
        <v>0.31609418060910283</v>
      </c>
      <c r="Q18" s="98">
        <f t="shared" si="10"/>
        <v>4.4508596345849929</v>
      </c>
      <c r="R18" s="98">
        <f t="shared" si="11"/>
        <v>0.44508596345849932</v>
      </c>
      <c r="S18" s="91">
        <f>Datos!$I$12*FGP!R18/100</f>
        <v>2064369.1242810907</v>
      </c>
      <c r="T18" s="92">
        <f t="shared" si="12"/>
        <v>44471036.377544999</v>
      </c>
      <c r="U18" s="93">
        <f t="shared" si="13"/>
        <v>3.6087000422530968</v>
      </c>
      <c r="V18" s="94"/>
      <c r="W18" s="95">
        <v>0.85819469233584766</v>
      </c>
      <c r="X18" s="95">
        <f t="shared" si="0"/>
        <v>0.22055195854476106</v>
      </c>
      <c r="Y18" s="96"/>
      <c r="Z18" s="96"/>
      <c r="AA18" s="94"/>
      <c r="AB18" s="94"/>
    </row>
    <row r="19" spans="1:28" s="5" customFormat="1" ht="16.5" customHeight="1" x14ac:dyDescent="0.25">
      <c r="A19" s="80" t="s">
        <v>57</v>
      </c>
      <c r="B19" s="97">
        <v>3.33</v>
      </c>
      <c r="C19" s="82">
        <f t="shared" si="1"/>
        <v>32518382.936129998</v>
      </c>
      <c r="D19" s="83">
        <f>'CENSO 2020'!C21</f>
        <v>24096</v>
      </c>
      <c r="E19" s="84">
        <f t="shared" si="2"/>
        <v>1.9503729796933278</v>
      </c>
      <c r="F19" s="85">
        <f t="shared" si="3"/>
        <v>1.1702237878159967</v>
      </c>
      <c r="G19" s="86">
        <f>Datos!$I$12*FGP!F19/100</f>
        <v>5427656.7998124743</v>
      </c>
      <c r="H19" s="87">
        <f>'Predial y Agua'!D20</f>
        <v>2694457</v>
      </c>
      <c r="I19" s="88">
        <f>'Predial y Agua'!G20</f>
        <v>3423553</v>
      </c>
      <c r="J19" s="84">
        <f t="shared" si="4"/>
        <v>1.2705910689983178</v>
      </c>
      <c r="K19" s="84">
        <f t="shared" si="5"/>
        <v>6.0204534046917546</v>
      </c>
      <c r="L19" s="98">
        <f t="shared" si="6"/>
        <v>1.8061360214075264</v>
      </c>
      <c r="M19" s="89">
        <f>Datos!$I$12*FGP!L19/100</f>
        <v>8377104.071926645</v>
      </c>
      <c r="N19" s="99">
        <f t="shared" si="7"/>
        <v>13804760.871739119</v>
      </c>
      <c r="O19" s="98">
        <f t="shared" si="8"/>
        <v>2.9763598092235233</v>
      </c>
      <c r="P19" s="98">
        <f t="shared" si="9"/>
        <v>0.3359808840655194</v>
      </c>
      <c r="Q19" s="98">
        <f t="shared" si="10"/>
        <v>4.7308803724187767</v>
      </c>
      <c r="R19" s="98">
        <f t="shared" si="11"/>
        <v>0.4730880372418777</v>
      </c>
      <c r="S19" s="91">
        <f>Datos!$I$12*FGP!R19/100</f>
        <v>2194246.544105941</v>
      </c>
      <c r="T19" s="92">
        <f t="shared" si="12"/>
        <v>48517390.351975061</v>
      </c>
      <c r="U19" s="93">
        <f t="shared" si="13"/>
        <v>3.449447846465401</v>
      </c>
      <c r="V19" s="94"/>
      <c r="W19" s="95">
        <v>0.30847701853884074</v>
      </c>
      <c r="X19" s="95">
        <f t="shared" si="0"/>
        <v>0.96211405045947695</v>
      </c>
      <c r="Y19" s="96"/>
      <c r="Z19" s="96"/>
      <c r="AA19" s="94"/>
      <c r="AB19" s="94"/>
    </row>
    <row r="20" spans="1:28" s="5" customFormat="1" ht="16.5" customHeight="1" x14ac:dyDescent="0.25">
      <c r="A20" s="80" t="s">
        <v>58</v>
      </c>
      <c r="B20" s="97">
        <v>4.6900000000000004</v>
      </c>
      <c r="C20" s="82">
        <f t="shared" si="1"/>
        <v>45799163.955090009</v>
      </c>
      <c r="D20" s="83">
        <f>'CENSO 2020'!C22</f>
        <v>41518</v>
      </c>
      <c r="E20" s="84">
        <f t="shared" si="2"/>
        <v>3.3605405615416495</v>
      </c>
      <c r="F20" s="85">
        <f t="shared" si="3"/>
        <v>2.0163243369249897</v>
      </c>
      <c r="G20" s="86">
        <f>Datos!$I$12*FGP!F20/100</f>
        <v>9351986.0148827322</v>
      </c>
      <c r="H20" s="87">
        <f>'Predial y Agua'!D21</f>
        <v>6665469</v>
      </c>
      <c r="I20" s="88">
        <f>'Predial y Agua'!G21</f>
        <v>5209406</v>
      </c>
      <c r="J20" s="84">
        <f t="shared" si="4"/>
        <v>0.78155130569206754</v>
      </c>
      <c r="K20" s="84">
        <f t="shared" si="5"/>
        <v>3.703231774645289</v>
      </c>
      <c r="L20" s="98">
        <f t="shared" si="6"/>
        <v>1.1109695323935866</v>
      </c>
      <c r="M20" s="89">
        <f>Datos!$I$12*FGP!L20/100</f>
        <v>5152827.5186871113</v>
      </c>
      <c r="N20" s="99">
        <f t="shared" si="7"/>
        <v>14504813.533569843</v>
      </c>
      <c r="O20" s="98">
        <f t="shared" si="8"/>
        <v>3.1272938693185761</v>
      </c>
      <c r="P20" s="98">
        <f t="shared" si="9"/>
        <v>0.31976528007516469</v>
      </c>
      <c r="Q20" s="98">
        <f t="shared" si="10"/>
        <v>4.5025516600330908</v>
      </c>
      <c r="R20" s="98">
        <f t="shared" si="11"/>
        <v>0.45025516600330912</v>
      </c>
      <c r="S20" s="91">
        <f>Datos!$I$12*FGP!R20/100</f>
        <v>2088344.5874651945</v>
      </c>
      <c r="T20" s="92">
        <f t="shared" si="12"/>
        <v>62392322.076125056</v>
      </c>
      <c r="U20" s="93">
        <f t="shared" si="13"/>
        <v>3.5775490353218853</v>
      </c>
      <c r="V20" s="94"/>
      <c r="W20" s="95">
        <v>0.9189459125639704</v>
      </c>
      <c r="X20" s="95">
        <f t="shared" si="0"/>
        <v>-0.13739460687190286</v>
      </c>
      <c r="Y20" s="96"/>
      <c r="Z20" s="96"/>
      <c r="AA20" s="94"/>
      <c r="AB20" s="94"/>
    </row>
    <row r="21" spans="1:28" s="5" customFormat="1" ht="16.5" customHeight="1" x14ac:dyDescent="0.25">
      <c r="A21" s="80" t="s">
        <v>59</v>
      </c>
      <c r="B21" s="97">
        <v>2.13</v>
      </c>
      <c r="C21" s="82">
        <f t="shared" si="1"/>
        <v>20800046.742929999</v>
      </c>
      <c r="D21" s="83">
        <f>'CENSO 2020'!C23</f>
        <v>7683</v>
      </c>
      <c r="E21" s="84">
        <f t="shared" si="2"/>
        <v>0.62187564753418989</v>
      </c>
      <c r="F21" s="85">
        <f t="shared" si="3"/>
        <v>0.37312538852051391</v>
      </c>
      <c r="G21" s="86">
        <f>Datos!$I$12*FGP!F21/100</f>
        <v>1730606.2082071397</v>
      </c>
      <c r="H21" s="87">
        <f>'Predial y Agua'!D22</f>
        <v>1821386</v>
      </c>
      <c r="I21" s="88">
        <f>'Predial y Agua'!G22</f>
        <v>2088284</v>
      </c>
      <c r="J21" s="84">
        <f t="shared" si="4"/>
        <v>1.1465356602060188</v>
      </c>
      <c r="K21" s="84">
        <f t="shared" si="5"/>
        <v>5.4326405147248629</v>
      </c>
      <c r="L21" s="98">
        <f t="shared" si="6"/>
        <v>1.6297921544174587</v>
      </c>
      <c r="M21" s="89">
        <f>Datos!$I$12*FGP!L21/100</f>
        <v>7559197.276030642</v>
      </c>
      <c r="N21" s="99">
        <f t="shared" si="7"/>
        <v>9289803.4842377827</v>
      </c>
      <c r="O21" s="98">
        <f t="shared" si="8"/>
        <v>2.0029175429379729</v>
      </c>
      <c r="P21" s="98">
        <f t="shared" si="9"/>
        <v>0.49927167672272388</v>
      </c>
      <c r="Q21" s="98">
        <f t="shared" si="10"/>
        <v>7.0301457253488753</v>
      </c>
      <c r="R21" s="98">
        <f t="shared" si="11"/>
        <v>0.70301457253488753</v>
      </c>
      <c r="S21" s="91">
        <f>Datos!$I$12*FGP!R21/100</f>
        <v>3260677.0300812046</v>
      </c>
      <c r="T21" s="92">
        <f t="shared" si="12"/>
        <v>33350527.257248987</v>
      </c>
      <c r="U21" s="93">
        <f t="shared" si="13"/>
        <v>2.7059321154728599</v>
      </c>
      <c r="V21" s="94"/>
      <c r="W21" s="95">
        <v>0.95554775379956836</v>
      </c>
      <c r="X21" s="95">
        <f t="shared" si="0"/>
        <v>0.19098790640645047</v>
      </c>
      <c r="Y21" s="96"/>
      <c r="Z21" s="96"/>
      <c r="AA21" s="94"/>
      <c r="AB21" s="94"/>
    </row>
    <row r="22" spans="1:28" s="5" customFormat="1" ht="16.5" customHeight="1" x14ac:dyDescent="0.25">
      <c r="A22" s="80" t="s">
        <v>60</v>
      </c>
      <c r="B22" s="97">
        <v>2.81</v>
      </c>
      <c r="C22" s="82">
        <f t="shared" si="1"/>
        <v>27440437.252410002</v>
      </c>
      <c r="D22" s="83">
        <f>'CENSO 2020'!C24</f>
        <v>24911</v>
      </c>
      <c r="E22" s="84">
        <f t="shared" si="2"/>
        <v>2.0163405252797348</v>
      </c>
      <c r="F22" s="85">
        <f t="shared" si="3"/>
        <v>1.2098043151678408</v>
      </c>
      <c r="G22" s="86">
        <f>Datos!$I$12*FGP!F22/100</f>
        <v>5611236.6592018818</v>
      </c>
      <c r="H22" s="87">
        <f>'Predial y Agua'!D23</f>
        <v>4577159</v>
      </c>
      <c r="I22" s="88">
        <f>'Predial y Agua'!G23</f>
        <v>2820618</v>
      </c>
      <c r="J22" s="84">
        <f t="shared" si="4"/>
        <v>0.61623771426773677</v>
      </c>
      <c r="K22" s="84">
        <f t="shared" si="5"/>
        <v>2.9199248566161398</v>
      </c>
      <c r="L22" s="98">
        <f t="shared" si="6"/>
        <v>0.87597745698484186</v>
      </c>
      <c r="M22" s="89">
        <f>Datos!$I$12*FGP!L22/100</f>
        <v>4062902.3699472118</v>
      </c>
      <c r="N22" s="99">
        <f t="shared" si="7"/>
        <v>9674139.0291490927</v>
      </c>
      <c r="O22" s="98">
        <f t="shared" si="8"/>
        <v>2.0857817721526826</v>
      </c>
      <c r="P22" s="98">
        <f t="shared" si="9"/>
        <v>0.47943654190051022</v>
      </c>
      <c r="Q22" s="98">
        <f t="shared" si="10"/>
        <v>6.7508511152531661</v>
      </c>
      <c r="R22" s="98">
        <f t="shared" si="11"/>
        <v>0.67508511152531669</v>
      </c>
      <c r="S22" s="91">
        <f>Datos!$I$12*FGP!R22/100</f>
        <v>3131136.3981593298</v>
      </c>
      <c r="T22" s="92">
        <f t="shared" si="12"/>
        <v>40245712.679718427</v>
      </c>
      <c r="U22" s="93">
        <f t="shared" si="13"/>
        <v>2.7608668836779993</v>
      </c>
      <c r="V22" s="94"/>
      <c r="W22" s="95">
        <v>1.699762368686244</v>
      </c>
      <c r="X22" s="95">
        <f t="shared" si="0"/>
        <v>-1.0835246544185071</v>
      </c>
      <c r="Y22" s="96"/>
      <c r="Z22" s="96"/>
      <c r="AA22" s="94"/>
      <c r="AB22" s="94"/>
    </row>
    <row r="23" spans="1:28" s="5" customFormat="1" ht="16.5" customHeight="1" x14ac:dyDescent="0.25">
      <c r="A23" s="80" t="s">
        <v>61</v>
      </c>
      <c r="B23" s="97">
        <v>8.34</v>
      </c>
      <c r="C23" s="82">
        <f t="shared" si="1"/>
        <v>81442436.542740002</v>
      </c>
      <c r="D23" s="83">
        <f>'CENSO 2020'!C25</f>
        <v>93981</v>
      </c>
      <c r="E23" s="84">
        <f t="shared" si="2"/>
        <v>7.6069888365105687</v>
      </c>
      <c r="F23" s="85">
        <f t="shared" si="3"/>
        <v>4.5641933019063412</v>
      </c>
      <c r="G23" s="86">
        <f>Datos!$I$12*FGP!F23/100</f>
        <v>21169348.178252663</v>
      </c>
      <c r="H23" s="87">
        <f>'Predial y Agua'!D24</f>
        <v>16215080</v>
      </c>
      <c r="I23" s="88">
        <f>'Predial y Agua'!G24</f>
        <v>17843967</v>
      </c>
      <c r="J23" s="84">
        <f t="shared" si="4"/>
        <v>1.1004550702185867</v>
      </c>
      <c r="K23" s="84">
        <f t="shared" si="5"/>
        <v>5.2142964293231353</v>
      </c>
      <c r="L23" s="98">
        <f t="shared" si="6"/>
        <v>1.5642889287969406</v>
      </c>
      <c r="M23" s="89">
        <f>Datos!$I$12*FGP!L23/100</f>
        <v>7255384.4227537625</v>
      </c>
      <c r="N23" s="99">
        <f t="shared" si="7"/>
        <v>28424732.601006426</v>
      </c>
      <c r="O23" s="98">
        <f t="shared" si="8"/>
        <v>6.1284822307032822</v>
      </c>
      <c r="P23" s="98">
        <f t="shared" si="9"/>
        <v>0.16317253805356038</v>
      </c>
      <c r="Q23" s="98">
        <f t="shared" si="10"/>
        <v>2.2976002332466257</v>
      </c>
      <c r="R23" s="98">
        <f t="shared" si="11"/>
        <v>0.22976002332466258</v>
      </c>
      <c r="S23" s="91">
        <f>Datos!$I$12*FGP!R23/100</f>
        <v>1065658.1808600717</v>
      </c>
      <c r="T23" s="92">
        <f t="shared" si="12"/>
        <v>110932827.32460651</v>
      </c>
      <c r="U23" s="93">
        <f t="shared" si="13"/>
        <v>6.3582422540279442</v>
      </c>
      <c r="V23" s="94"/>
      <c r="W23" s="95">
        <v>1.2135546261977699</v>
      </c>
      <c r="X23" s="95">
        <f t="shared" si="0"/>
        <v>-0.1130995559791832</v>
      </c>
      <c r="Y23" s="96"/>
      <c r="Z23" s="96"/>
      <c r="AA23" s="94"/>
      <c r="AB23" s="94"/>
    </row>
    <row r="24" spans="1:28" s="5" customFormat="1" ht="16.5" customHeight="1" x14ac:dyDescent="0.25">
      <c r="A24" s="80" t="s">
        <v>62</v>
      </c>
      <c r="B24" s="97">
        <v>3.5</v>
      </c>
      <c r="C24" s="82">
        <f t="shared" si="1"/>
        <v>34178480.563500002</v>
      </c>
      <c r="D24" s="83">
        <f>'CENSO 2020'!C26</f>
        <v>37135</v>
      </c>
      <c r="E24" s="84">
        <f t="shared" si="2"/>
        <v>3.0057727673021133</v>
      </c>
      <c r="F24" s="85">
        <f t="shared" si="3"/>
        <v>1.8034636603812679</v>
      </c>
      <c r="G24" s="86">
        <f>Datos!$I$12*FGP!F24/100</f>
        <v>8364709.2986817816</v>
      </c>
      <c r="H24" s="87">
        <f>'Predial y Agua'!D25</f>
        <v>4339926</v>
      </c>
      <c r="I24" s="88">
        <f>'Predial y Agua'!G25</f>
        <v>4883574</v>
      </c>
      <c r="J24" s="84">
        <f t="shared" si="4"/>
        <v>1.1252666520120389</v>
      </c>
      <c r="K24" s="84">
        <f t="shared" si="5"/>
        <v>5.3318613766369403</v>
      </c>
      <c r="L24" s="98">
        <f t="shared" si="6"/>
        <v>1.599558412991082</v>
      </c>
      <c r="M24" s="89">
        <f>Datos!$I$12*FGP!L24/100</f>
        <v>7418969.0787019022</v>
      </c>
      <c r="N24" s="99">
        <f t="shared" si="7"/>
        <v>15783678.377383683</v>
      </c>
      <c r="O24" s="98">
        <f t="shared" si="8"/>
        <v>3.40302207337235</v>
      </c>
      <c r="P24" s="98">
        <f t="shared" si="9"/>
        <v>0.29385645418662043</v>
      </c>
      <c r="Q24" s="98">
        <f t="shared" si="10"/>
        <v>4.1377346073920043</v>
      </c>
      <c r="R24" s="98">
        <f t="shared" si="11"/>
        <v>0.41377346073920046</v>
      </c>
      <c r="S24" s="91">
        <f>Datos!$I$12*FGP!R24/100</f>
        <v>1919137.4856209885</v>
      </c>
      <c r="T24" s="92">
        <f t="shared" si="12"/>
        <v>51881296.426504672</v>
      </c>
      <c r="U24" s="93">
        <f t="shared" si="13"/>
        <v>3.8167955341115505</v>
      </c>
      <c r="V24" s="94"/>
      <c r="W24" s="95">
        <v>0.93743913529070699</v>
      </c>
      <c r="X24" s="95">
        <f t="shared" si="0"/>
        <v>0.18782751672133191</v>
      </c>
      <c r="Y24" s="96"/>
      <c r="Z24" s="96"/>
      <c r="AA24" s="94"/>
      <c r="AB24" s="94"/>
    </row>
    <row r="25" spans="1:28" s="5" customFormat="1" ht="16.5" customHeight="1" x14ac:dyDescent="0.25">
      <c r="A25" s="80" t="s">
        <v>63</v>
      </c>
      <c r="B25" s="97">
        <v>39</v>
      </c>
      <c r="C25" s="82">
        <f t="shared" si="1"/>
        <v>380845926.27900004</v>
      </c>
      <c r="D25" s="83">
        <f>'CENSO 2020'!C27</f>
        <v>425924</v>
      </c>
      <c r="E25" s="84">
        <f t="shared" si="2"/>
        <v>34.475044032324909</v>
      </c>
      <c r="F25" s="85">
        <f t="shared" si="3"/>
        <v>20.685026419394944</v>
      </c>
      <c r="G25" s="86">
        <f>Datos!$I$12*FGP!F25/100</f>
        <v>95939960.773710504</v>
      </c>
      <c r="H25" s="87">
        <f>'Predial y Agua'!D26</f>
        <v>249740346</v>
      </c>
      <c r="I25" s="88">
        <f>'Predial y Agua'!G26</f>
        <v>288565311</v>
      </c>
      <c r="J25" s="84">
        <f t="shared" si="4"/>
        <v>1.1554613246191305</v>
      </c>
      <c r="K25" s="84">
        <f t="shared" si="5"/>
        <v>5.4749330729020729</v>
      </c>
      <c r="L25" s="98">
        <f t="shared" si="6"/>
        <v>1.6424799218706219</v>
      </c>
      <c r="M25" s="89">
        <f>Datos!$I$12*FGP!L25/100</f>
        <v>7618044.8639950966</v>
      </c>
      <c r="N25" s="99">
        <f t="shared" si="7"/>
        <v>103558005.63770559</v>
      </c>
      <c r="O25" s="98">
        <f t="shared" si="8"/>
        <v>22.327506341265565</v>
      </c>
      <c r="P25" s="98">
        <f t="shared" si="9"/>
        <v>4.4787804993332639E-2</v>
      </c>
      <c r="Q25" s="98">
        <f t="shared" si="10"/>
        <v>0.63064822320473857</v>
      </c>
      <c r="R25" s="98">
        <f t="shared" si="11"/>
        <v>6.3064822320473862E-2</v>
      </c>
      <c r="S25" s="91">
        <f>Datos!$I$12*FGP!R25/100</f>
        <v>292503.20772876567</v>
      </c>
      <c r="T25" s="92">
        <f t="shared" si="12"/>
        <v>484696435.12443435</v>
      </c>
      <c r="U25" s="93">
        <f t="shared" si="13"/>
        <v>22.390571163586038</v>
      </c>
      <c r="V25" s="94"/>
      <c r="W25" s="95">
        <v>0.78971025252641724</v>
      </c>
      <c r="X25" s="95">
        <f t="shared" si="0"/>
        <v>0.36575107209271329</v>
      </c>
      <c r="Y25" s="96"/>
      <c r="Z25" s="96"/>
      <c r="AA25" s="94"/>
      <c r="AB25" s="94"/>
    </row>
    <row r="26" spans="1:28" s="5" customFormat="1" ht="16.5" customHeight="1" x14ac:dyDescent="0.25">
      <c r="A26" s="80" t="s">
        <v>64</v>
      </c>
      <c r="B26" s="97">
        <v>3.79</v>
      </c>
      <c r="C26" s="82">
        <f t="shared" si="1"/>
        <v>37010411.81019</v>
      </c>
      <c r="D26" s="83">
        <f>'CENSO 2020'!C28</f>
        <v>30064</v>
      </c>
      <c r="E26" s="84">
        <f t="shared" si="2"/>
        <v>2.4334334852880231</v>
      </c>
      <c r="F26" s="85">
        <f t="shared" si="3"/>
        <v>1.4600600911728139</v>
      </c>
      <c r="G26" s="86">
        <f>Datos!$I$12*FGP!F26/100</f>
        <v>6771956.9235376082</v>
      </c>
      <c r="H26" s="87">
        <f>'Predial y Agua'!D27</f>
        <v>2607273</v>
      </c>
      <c r="I26" s="88">
        <f>'Predial y Agua'!G27</f>
        <v>3116609</v>
      </c>
      <c r="J26" s="84">
        <f t="shared" si="4"/>
        <v>1.1953520018808923</v>
      </c>
      <c r="K26" s="84">
        <f t="shared" si="5"/>
        <v>5.6639474376302665</v>
      </c>
      <c r="L26" s="98">
        <f t="shared" si="6"/>
        <v>1.6991842312890799</v>
      </c>
      <c r="M26" s="89">
        <f>Datos!$I$12*FGP!L26/100</f>
        <v>7881047.1493683616</v>
      </c>
      <c r="N26" s="99">
        <f t="shared" si="7"/>
        <v>14653004.072905969</v>
      </c>
      <c r="O26" s="98">
        <f t="shared" si="8"/>
        <v>3.1592443224618938</v>
      </c>
      <c r="P26" s="98">
        <f t="shared" si="9"/>
        <v>0.31653139103237615</v>
      </c>
      <c r="Q26" s="98">
        <f t="shared" si="10"/>
        <v>4.4570159080760687</v>
      </c>
      <c r="R26" s="98">
        <f t="shared" si="11"/>
        <v>0.44570159080760691</v>
      </c>
      <c r="S26" s="91">
        <f>Datos!$I$12*FGP!R26/100</f>
        <v>2067224.487505052</v>
      </c>
      <c r="T26" s="92">
        <f t="shared" si="12"/>
        <v>53730640.370601013</v>
      </c>
      <c r="U26" s="93">
        <f t="shared" si="13"/>
        <v>3.6049459132695008</v>
      </c>
      <c r="V26" s="94"/>
      <c r="W26" s="95">
        <v>1.0987404654646735</v>
      </c>
      <c r="X26" s="95">
        <f t="shared" si="0"/>
        <v>9.661153641621878E-2</v>
      </c>
      <c r="Y26" s="96"/>
      <c r="Z26" s="96"/>
      <c r="AA26" s="94"/>
      <c r="AB26" s="94"/>
    </row>
    <row r="27" spans="1:28" s="5" customFormat="1" ht="16.5" customHeight="1" thickBot="1" x14ac:dyDescent="0.3">
      <c r="A27" s="100" t="s">
        <v>65</v>
      </c>
      <c r="B27" s="364">
        <v>3.1</v>
      </c>
      <c r="C27" s="365">
        <f t="shared" si="1"/>
        <v>30272368.499100003</v>
      </c>
      <c r="D27" s="366">
        <f>'CENSO 2020'!C29</f>
        <v>65229</v>
      </c>
      <c r="E27" s="367">
        <f t="shared" si="2"/>
        <v>5.2797509583506006</v>
      </c>
      <c r="F27" s="368">
        <f t="shared" si="3"/>
        <v>3.1678505750103603</v>
      </c>
      <c r="G27" s="369">
        <f>Datos!$I$12*FGP!F27/100</f>
        <v>14692921.040627815</v>
      </c>
      <c r="H27" s="370">
        <f>'Predial y Agua'!D28</f>
        <v>37799533</v>
      </c>
      <c r="I27" s="371">
        <f>'Predial y Agua'!G28</f>
        <v>45690433</v>
      </c>
      <c r="J27" s="367">
        <f t="shared" si="4"/>
        <v>1.2087565473361801</v>
      </c>
      <c r="K27" s="367">
        <f t="shared" si="5"/>
        <v>5.7274623192422194</v>
      </c>
      <c r="L27" s="367">
        <f t="shared" si="6"/>
        <v>1.7182386957726659</v>
      </c>
      <c r="M27" s="372">
        <f>Datos!$I$12*FGP!L27/100</f>
        <v>7969424.3425154397</v>
      </c>
      <c r="N27" s="373">
        <f t="shared" si="7"/>
        <v>22662345.383143254</v>
      </c>
      <c r="O27" s="367">
        <f t="shared" si="8"/>
        <v>4.8860892707830264</v>
      </c>
      <c r="P27" s="367">
        <f t="shared" si="9"/>
        <v>0.20466265444219847</v>
      </c>
      <c r="Q27" s="367">
        <f t="shared" si="10"/>
        <v>2.8818143554825237</v>
      </c>
      <c r="R27" s="367">
        <f t="shared" si="11"/>
        <v>0.28818143554825237</v>
      </c>
      <c r="S27" s="374">
        <f>Datos!$I$12*FGP!R27/100</f>
        <v>1336624.6221608473</v>
      </c>
      <c r="T27" s="375">
        <f t="shared" si="12"/>
        <v>54271338.504404105</v>
      </c>
      <c r="U27" s="93">
        <f t="shared" si="13"/>
        <v>5.1742707063312778</v>
      </c>
      <c r="V27" s="94"/>
      <c r="W27" s="95">
        <v>1.0459205946760619</v>
      </c>
      <c r="X27" s="95">
        <f t="shared" si="0"/>
        <v>0.16283595266011819</v>
      </c>
      <c r="Y27" s="96"/>
      <c r="Z27" s="96"/>
      <c r="AA27" s="94"/>
      <c r="AB27" s="94"/>
    </row>
    <row r="28" spans="1:28" s="5" customFormat="1" ht="16.5" customHeight="1" thickBot="1" x14ac:dyDescent="0.3">
      <c r="A28" s="101" t="s">
        <v>66</v>
      </c>
      <c r="B28" s="528">
        <f>SUM(B8:B27)</f>
        <v>100</v>
      </c>
      <c r="C28" s="529">
        <f>Datos!I10*22.5%</f>
        <v>976528016.10000002</v>
      </c>
      <c r="D28" s="263">
        <f>SUM(D8:D27)</f>
        <v>1235456</v>
      </c>
      <c r="E28" s="264">
        <f>SUM(E8:E27)</f>
        <v>100</v>
      </c>
      <c r="F28" s="265">
        <f t="shared" ref="F28:M28" si="14">SUM(F8:F27)</f>
        <v>59.999999999999993</v>
      </c>
      <c r="G28" s="266">
        <f>SUM(G8:G27)</f>
        <v>278288145.72000003</v>
      </c>
      <c r="H28" s="267">
        <f t="shared" si="14"/>
        <v>687130414</v>
      </c>
      <c r="I28" s="268">
        <f t="shared" si="14"/>
        <v>795617286</v>
      </c>
      <c r="J28" s="264">
        <f t="shared" si="14"/>
        <v>21.104574416407623</v>
      </c>
      <c r="K28" s="269">
        <f t="shared" si="14"/>
        <v>99.999999999999986</v>
      </c>
      <c r="L28" s="265">
        <f t="shared" si="14"/>
        <v>29.999999999999993</v>
      </c>
      <c r="M28" s="270">
        <f t="shared" si="14"/>
        <v>139144072.85999995</v>
      </c>
      <c r="N28" s="271">
        <f t="shared" si="7"/>
        <v>417432218.57999998</v>
      </c>
      <c r="O28" s="269">
        <f t="shared" ref="O28:T28" si="15">SUM(O8:O27)</f>
        <v>90</v>
      </c>
      <c r="P28" s="269">
        <f t="shared" si="15"/>
        <v>7.1018681010050786</v>
      </c>
      <c r="Q28" s="269">
        <f t="shared" si="15"/>
        <v>100</v>
      </c>
      <c r="R28" s="269">
        <f t="shared" si="15"/>
        <v>10</v>
      </c>
      <c r="S28" s="270">
        <f>Datos!I17</f>
        <v>46381357.620000005</v>
      </c>
      <c r="T28" s="376">
        <f t="shared" si="15"/>
        <v>1440341592.3</v>
      </c>
      <c r="U28" s="93">
        <f t="shared" si="13"/>
        <v>99.999999999999986</v>
      </c>
      <c r="V28" s="94"/>
      <c r="W28" s="95">
        <f>SUM(W8:W27)</f>
        <v>24.538698253136822</v>
      </c>
      <c r="X28" s="95"/>
      <c r="Y28" s="96"/>
      <c r="Z28" s="96"/>
      <c r="AA28" s="94"/>
      <c r="AB28" s="94"/>
    </row>
    <row r="29" spans="1:28" s="5" customFormat="1" ht="16.5" customHeight="1" x14ac:dyDescent="0.25">
      <c r="A29" s="903" t="s">
        <v>297</v>
      </c>
      <c r="B29" s="903"/>
      <c r="C29" s="903"/>
      <c r="D29" s="903"/>
      <c r="E29" s="903"/>
      <c r="F29" s="903"/>
      <c r="G29" s="903"/>
      <c r="H29" s="903"/>
      <c r="I29" s="903"/>
      <c r="J29" s="903"/>
      <c r="K29" s="903"/>
      <c r="L29" s="903"/>
      <c r="M29" s="903"/>
      <c r="N29" s="903"/>
      <c r="O29" s="903"/>
      <c r="P29" s="903"/>
      <c r="Q29" s="903"/>
      <c r="R29" s="903"/>
      <c r="S29" s="903"/>
      <c r="T29" s="903"/>
      <c r="U29" s="530"/>
      <c r="V29" s="94"/>
      <c r="W29" s="95"/>
      <c r="X29" s="95"/>
      <c r="Y29" s="96"/>
      <c r="Z29" s="96"/>
      <c r="AA29" s="94"/>
      <c r="AB29" s="94"/>
    </row>
    <row r="30" spans="1:28" s="5" customFormat="1" ht="21.75" customHeight="1" x14ac:dyDescent="0.25">
      <c r="A30" s="531"/>
      <c r="B30" s="541" t="s">
        <v>81</v>
      </c>
      <c r="C30" s="531"/>
      <c r="D30" s="531"/>
      <c r="E30" s="531"/>
      <c r="F30" s="531"/>
      <c r="G30" s="532"/>
      <c r="H30" s="533"/>
      <c r="I30" s="532"/>
      <c r="J30" s="534"/>
      <c r="K30" s="534"/>
      <c r="L30" s="534"/>
      <c r="M30" s="534"/>
      <c r="N30" s="534"/>
      <c r="O30" s="534"/>
      <c r="P30" s="534"/>
      <c r="Q30" s="534"/>
      <c r="R30" s="534"/>
      <c r="S30" s="534"/>
      <c r="T30" s="534"/>
      <c r="X30" s="95"/>
    </row>
    <row r="31" spans="1:28" s="5" customFormat="1" ht="27" customHeight="1" x14ac:dyDescent="0.25">
      <c r="A31" s="531"/>
      <c r="B31" s="902" t="s">
        <v>299</v>
      </c>
      <c r="C31" s="902"/>
      <c r="D31" s="902"/>
      <c r="E31" s="902"/>
      <c r="F31" s="902"/>
      <c r="G31" s="902"/>
      <c r="H31" s="902"/>
      <c r="I31" s="902"/>
      <c r="J31" s="902"/>
      <c r="K31" s="902"/>
      <c r="L31" s="902"/>
      <c r="M31" s="902"/>
      <c r="N31" s="902"/>
      <c r="O31" s="902"/>
      <c r="P31" s="902"/>
      <c r="Q31" s="902"/>
      <c r="R31" s="902"/>
      <c r="S31" s="902"/>
      <c r="T31" s="902"/>
      <c r="X31" s="95"/>
    </row>
    <row r="32" spans="1:28" ht="15" customHeight="1" x14ac:dyDescent="0.25">
      <c r="A32" s="535"/>
      <c r="B32" s="904" t="s">
        <v>425</v>
      </c>
      <c r="C32" s="904"/>
      <c r="D32" s="904"/>
      <c r="E32" s="904"/>
      <c r="F32" s="904"/>
      <c r="G32" s="904"/>
      <c r="H32" s="904"/>
      <c r="I32" s="904"/>
      <c r="J32" s="904"/>
      <c r="K32" s="904"/>
      <c r="L32" s="904"/>
      <c r="M32" s="904"/>
      <c r="N32" s="904"/>
      <c r="O32" s="904"/>
      <c r="P32" s="904"/>
      <c r="Q32" s="904"/>
      <c r="R32" s="904"/>
      <c r="S32" s="904"/>
      <c r="T32" s="904"/>
    </row>
    <row r="33" spans="1:20" x14ac:dyDescent="0.25">
      <c r="A33" s="535"/>
      <c r="B33" s="904" t="s">
        <v>300</v>
      </c>
      <c r="C33" s="904"/>
      <c r="D33" s="904"/>
      <c r="E33" s="904"/>
      <c r="F33" s="904"/>
      <c r="G33" s="904"/>
      <c r="H33" s="904"/>
      <c r="I33" s="904"/>
      <c r="J33" s="904"/>
      <c r="K33" s="904"/>
      <c r="L33" s="904"/>
      <c r="M33" s="904"/>
      <c r="N33" s="904"/>
      <c r="O33" s="904"/>
      <c r="P33" s="904"/>
      <c r="Q33" s="904"/>
      <c r="R33" s="904"/>
      <c r="S33" s="904"/>
      <c r="T33" s="904"/>
    </row>
    <row r="34" spans="1:20" ht="15" customHeight="1" x14ac:dyDescent="0.25">
      <c r="A34" s="535"/>
      <c r="B34" s="901"/>
      <c r="C34" s="901"/>
      <c r="D34" s="901"/>
      <c r="E34" s="901"/>
      <c r="F34" s="901"/>
      <c r="G34" s="901"/>
      <c r="H34" s="901"/>
      <c r="I34" s="901"/>
      <c r="J34" s="901"/>
      <c r="K34" s="901"/>
      <c r="L34" s="901"/>
      <c r="M34" s="901"/>
      <c r="N34" s="901"/>
      <c r="O34" s="901"/>
      <c r="P34" s="901"/>
      <c r="Q34" s="901"/>
      <c r="R34" s="901"/>
      <c r="S34" s="901"/>
      <c r="T34" s="901"/>
    </row>
    <row r="38" spans="1:20" x14ac:dyDescent="0.25">
      <c r="G38" s="360"/>
    </row>
    <row r="43" spans="1:20" x14ac:dyDescent="0.25">
      <c r="L43" s="79"/>
    </row>
    <row r="44" spans="1:20" x14ac:dyDescent="0.25">
      <c r="L44" s="79"/>
    </row>
    <row r="45" spans="1:20" x14ac:dyDescent="0.25">
      <c r="L45" s="79"/>
    </row>
    <row r="46" spans="1:20" x14ac:dyDescent="0.25">
      <c r="L46" s="79"/>
    </row>
    <row r="47" spans="1:20" x14ac:dyDescent="0.25">
      <c r="L47" s="79"/>
    </row>
    <row r="48" spans="1:20" x14ac:dyDescent="0.25">
      <c r="L48" s="79"/>
    </row>
    <row r="49" spans="12:12" x14ac:dyDescent="0.25">
      <c r="L49" s="79"/>
    </row>
    <row r="50" spans="12:12" x14ac:dyDescent="0.25">
      <c r="L50" s="79"/>
    </row>
    <row r="51" spans="12:12" x14ac:dyDescent="0.25">
      <c r="L51" s="79"/>
    </row>
    <row r="52" spans="12:12" x14ac:dyDescent="0.25">
      <c r="L52" s="79"/>
    </row>
    <row r="53" spans="12:12" x14ac:dyDescent="0.25">
      <c r="L53" s="79"/>
    </row>
    <row r="54" spans="12:12" x14ac:dyDescent="0.25">
      <c r="L54" s="79"/>
    </row>
    <row r="55" spans="12:12" x14ac:dyDescent="0.25">
      <c r="L55" s="79"/>
    </row>
    <row r="56" spans="12:12" x14ac:dyDescent="0.25">
      <c r="L56" s="79"/>
    </row>
    <row r="57" spans="12:12" x14ac:dyDescent="0.25">
      <c r="L57" s="79"/>
    </row>
    <row r="58" spans="12:12" x14ac:dyDescent="0.25">
      <c r="L58" s="79"/>
    </row>
    <row r="59" spans="12:12" x14ac:dyDescent="0.25">
      <c r="L59" s="79"/>
    </row>
    <row r="60" spans="12:12" x14ac:dyDescent="0.25">
      <c r="L60" s="79"/>
    </row>
    <row r="61" spans="12:12" x14ac:dyDescent="0.25">
      <c r="L61" s="79"/>
    </row>
    <row r="62" spans="12:12" x14ac:dyDescent="0.25">
      <c r="L62" s="79"/>
    </row>
    <row r="63" spans="12:12" x14ac:dyDescent="0.25">
      <c r="L63" s="79"/>
    </row>
  </sheetData>
  <mergeCells count="25">
    <mergeCell ref="B34:T34"/>
    <mergeCell ref="B31:T31"/>
    <mergeCell ref="A29:T29"/>
    <mergeCell ref="B32:T32"/>
    <mergeCell ref="B33:T33"/>
    <mergeCell ref="U3:U7"/>
    <mergeCell ref="E4:E5"/>
    <mergeCell ref="D3:G3"/>
    <mergeCell ref="H3:M3"/>
    <mergeCell ref="N3:S3"/>
    <mergeCell ref="R4:R6"/>
    <mergeCell ref="B3:B6"/>
    <mergeCell ref="A1:T1"/>
    <mergeCell ref="A3:A7"/>
    <mergeCell ref="H4:J5"/>
    <mergeCell ref="K4:K6"/>
    <mergeCell ref="N4:N6"/>
    <mergeCell ref="M4:M6"/>
    <mergeCell ref="O4:O6"/>
    <mergeCell ref="P4:P6"/>
    <mergeCell ref="Q4:Q6"/>
    <mergeCell ref="S4:S6"/>
    <mergeCell ref="C3:C6"/>
    <mergeCell ref="G4:G6"/>
    <mergeCell ref="T3:T6"/>
  </mergeCells>
  <pageMargins left="0.70866141732283472" right="0.21" top="0.74803149606299213" bottom="0.74803149606299213" header="0.31496062992125984" footer="0.31496062992125984"/>
  <pageSetup paperSize="5" scale="52" orientation="landscape" r:id="rId1"/>
  <ignoredErrors>
    <ignoredError sqref="B7 D7 F7 H7" numberStoredAsText="1"/>
    <ignoredError sqref="S28" formula="1"/>
  </ignoredError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tabColor theme="5" tint="0.59999389629810485"/>
  </sheetPr>
  <dimension ref="A1:P38"/>
  <sheetViews>
    <sheetView topLeftCell="A5" workbookViewId="0">
      <selection sqref="A1:O1"/>
    </sheetView>
  </sheetViews>
  <sheetFormatPr baseColWidth="10" defaultRowHeight="12.75" x14ac:dyDescent="0.2"/>
  <cols>
    <col min="1" max="1" width="16" style="658" customWidth="1"/>
    <col min="2" max="2" width="9.28515625" style="658" bestFit="1" customWidth="1"/>
    <col min="3" max="14" width="12.7109375" style="658" bestFit="1" customWidth="1"/>
    <col min="15" max="15" width="13.85546875" style="658" bestFit="1" customWidth="1"/>
    <col min="16" max="16" width="13.7109375" style="658" bestFit="1" customWidth="1"/>
    <col min="17" max="16384" width="11.42578125" style="658"/>
  </cols>
  <sheetData>
    <row r="1" spans="1:15" ht="15.75" x14ac:dyDescent="0.25">
      <c r="A1" s="1019" t="s">
        <v>279</v>
      </c>
      <c r="B1" s="1019"/>
      <c r="C1" s="1019"/>
      <c r="D1" s="1019"/>
      <c r="E1" s="1019"/>
      <c r="F1" s="1019"/>
      <c r="G1" s="1019"/>
      <c r="H1" s="1019"/>
      <c r="I1" s="1019"/>
      <c r="J1" s="1019"/>
      <c r="K1" s="1019"/>
      <c r="L1" s="1019"/>
      <c r="M1" s="1019"/>
      <c r="N1" s="1019"/>
      <c r="O1" s="1019"/>
    </row>
    <row r="2" spans="1:15" x14ac:dyDescent="0.2">
      <c r="A2" s="1020" t="s">
        <v>280</v>
      </c>
      <c r="B2" s="1020"/>
      <c r="C2" s="1020"/>
      <c r="D2" s="1020"/>
      <c r="E2" s="1020"/>
      <c r="F2" s="1020"/>
      <c r="G2" s="1020"/>
      <c r="H2" s="1020"/>
      <c r="I2" s="1020"/>
      <c r="J2" s="1020"/>
      <c r="K2" s="1020"/>
      <c r="L2" s="1020"/>
      <c r="M2" s="1020"/>
      <c r="N2" s="1020"/>
      <c r="O2" s="1020"/>
    </row>
    <row r="3" spans="1:15" x14ac:dyDescent="0.2">
      <c r="A3" s="1020" t="s">
        <v>281</v>
      </c>
      <c r="B3" s="1020"/>
      <c r="C3" s="1020"/>
      <c r="D3" s="1020"/>
      <c r="E3" s="1020"/>
      <c r="F3" s="1020"/>
      <c r="G3" s="1020"/>
      <c r="H3" s="1020"/>
      <c r="I3" s="1020"/>
      <c r="J3" s="1020"/>
      <c r="K3" s="1020"/>
      <c r="L3" s="1020"/>
      <c r="M3" s="1020"/>
      <c r="N3" s="1020"/>
      <c r="O3" s="1020"/>
    </row>
    <row r="4" spans="1:15" x14ac:dyDescent="0.2">
      <c r="A4" s="1021" t="s">
        <v>366</v>
      </c>
      <c r="B4" s="1021"/>
      <c r="C4" s="1021"/>
      <c r="D4" s="1021"/>
      <c r="E4" s="1021"/>
      <c r="F4" s="1021"/>
      <c r="G4" s="1021"/>
      <c r="H4" s="1021"/>
      <c r="I4" s="1021"/>
      <c r="J4" s="1021"/>
      <c r="K4" s="1021"/>
      <c r="L4" s="1021"/>
      <c r="M4" s="1021"/>
      <c r="N4" s="1021"/>
      <c r="O4" s="1021"/>
    </row>
    <row r="5" spans="1:15" ht="13.5" thickBot="1" x14ac:dyDescent="0.25"/>
    <row r="6" spans="1:15" ht="34.5" thickBot="1" x14ac:dyDescent="0.25">
      <c r="A6" s="659" t="s">
        <v>14</v>
      </c>
      <c r="B6" s="705" t="s">
        <v>368</v>
      </c>
      <c r="C6" s="659" t="s">
        <v>1</v>
      </c>
      <c r="D6" s="661" t="s">
        <v>2</v>
      </c>
      <c r="E6" s="659" t="s">
        <v>3</v>
      </c>
      <c r="F6" s="661" t="s">
        <v>4</v>
      </c>
      <c r="G6" s="659" t="s">
        <v>5</v>
      </c>
      <c r="H6" s="659" t="s">
        <v>6</v>
      </c>
      <c r="I6" s="659" t="s">
        <v>7</v>
      </c>
      <c r="J6" s="661" t="s">
        <v>8</v>
      </c>
      <c r="K6" s="659" t="s">
        <v>9</v>
      </c>
      <c r="L6" s="661" t="s">
        <v>10</v>
      </c>
      <c r="M6" s="659" t="s">
        <v>11</v>
      </c>
      <c r="N6" s="659" t="s">
        <v>12</v>
      </c>
      <c r="O6" s="662" t="s">
        <v>169</v>
      </c>
    </row>
    <row r="7" spans="1:15" x14ac:dyDescent="0.2">
      <c r="A7" s="663" t="s">
        <v>284</v>
      </c>
      <c r="B7" s="664">
        <f>(FFM!G9+FFM!J9)/2</f>
        <v>2.219336297115202</v>
      </c>
      <c r="C7" s="690">
        <f t="shared" ref="C7:C26" si="0">$C$32*B7/100</f>
        <v>39387.439720153154</v>
      </c>
      <c r="D7" s="691">
        <f t="shared" ref="D7:D26" si="1">$D$32*B7/100</f>
        <v>173822.71567234214</v>
      </c>
      <c r="E7" s="690">
        <f t="shared" ref="E7:E26" si="2">$E$32*B7/100</f>
        <v>105857.59045001458</v>
      </c>
      <c r="F7" s="691">
        <f t="shared" ref="F7:F26" si="3">$F$32*B7/100</f>
        <v>252140.74096124084</v>
      </c>
      <c r="G7" s="690">
        <f t="shared" ref="G7:G26" si="4">$G$32*B7/100</f>
        <v>192709.36506228047</v>
      </c>
      <c r="H7" s="690">
        <f t="shared" ref="H7:H26" si="5">$H$32*B7/100</f>
        <v>184993.43255596032</v>
      </c>
      <c r="I7" s="692">
        <f t="shared" ref="I7:I26" si="6">$I$32*B7/100</f>
        <v>77094.890978274139</v>
      </c>
      <c r="J7" s="691">
        <f t="shared" ref="J7:J26" si="7">$J$32*B7/100</f>
        <v>167678.57910660215</v>
      </c>
      <c r="K7" s="690">
        <f t="shared" ref="K7:K26" si="8">$K$32*B7/100</f>
        <v>62859.401587876637</v>
      </c>
      <c r="L7" s="691">
        <f t="shared" ref="L7:L26" si="9">$L$32*B7/100</f>
        <v>1366.1420871173325</v>
      </c>
      <c r="M7" s="690">
        <f t="shared" ref="M7:M26" si="10">$M$32*B7/100</f>
        <v>114646.84228180024</v>
      </c>
      <c r="N7" s="690">
        <f t="shared" ref="N7:N26" si="11">$N$32*B7/100</f>
        <v>42790.764775062285</v>
      </c>
      <c r="O7" s="693">
        <f t="shared" ref="O7:O27" si="12">SUM(C7:N7)</f>
        <v>1415347.9052387243</v>
      </c>
    </row>
    <row r="8" spans="1:15" x14ac:dyDescent="0.2">
      <c r="A8" s="663" t="s">
        <v>148</v>
      </c>
      <c r="B8" s="664">
        <f>(FFM!G10+FFM!J10)/2</f>
        <v>0.90429438837528697</v>
      </c>
      <c r="C8" s="690">
        <f t="shared" si="0"/>
        <v>16048.870447305408</v>
      </c>
      <c r="D8" s="691">
        <f t="shared" si="1"/>
        <v>70826.087312216274</v>
      </c>
      <c r="E8" s="690">
        <f t="shared" si="2"/>
        <v>43132.906506917083</v>
      </c>
      <c r="F8" s="691">
        <f t="shared" si="3"/>
        <v>102737.67766895644</v>
      </c>
      <c r="G8" s="690">
        <f t="shared" si="4"/>
        <v>78521.672285405308</v>
      </c>
      <c r="H8" s="690">
        <f t="shared" si="5"/>
        <v>75377.725838164566</v>
      </c>
      <c r="I8" s="690">
        <f t="shared" si="6"/>
        <v>31413.210055041505</v>
      </c>
      <c r="J8" s="691">
        <f t="shared" si="7"/>
        <v>68322.587403242505</v>
      </c>
      <c r="K8" s="690">
        <f t="shared" si="8"/>
        <v>25612.79432343498</v>
      </c>
      <c r="L8" s="691">
        <f t="shared" si="9"/>
        <v>556.65048361950835</v>
      </c>
      <c r="M8" s="690">
        <f t="shared" si="10"/>
        <v>46714.189397586808</v>
      </c>
      <c r="N8" s="690">
        <f t="shared" si="11"/>
        <v>17435.594826558685</v>
      </c>
      <c r="O8" s="693">
        <f t="shared" si="12"/>
        <v>576699.96654844913</v>
      </c>
    </row>
    <row r="9" spans="1:15" x14ac:dyDescent="0.2">
      <c r="A9" s="663" t="s">
        <v>149</v>
      </c>
      <c r="B9" s="664">
        <f>(FFM!G11+FFM!J11)/2</f>
        <v>0.65855407214960049</v>
      </c>
      <c r="C9" s="690">
        <f t="shared" si="0"/>
        <v>11687.619786586738</v>
      </c>
      <c r="D9" s="691">
        <f t="shared" si="1"/>
        <v>51579.229964795682</v>
      </c>
      <c r="E9" s="690">
        <f t="shared" si="2"/>
        <v>31411.619478047531</v>
      </c>
      <c r="F9" s="691">
        <f t="shared" si="3"/>
        <v>74818.905062148609</v>
      </c>
      <c r="G9" s="690">
        <f t="shared" si="4"/>
        <v>57183.554050862753</v>
      </c>
      <c r="H9" s="690">
        <f t="shared" si="5"/>
        <v>54893.969196564824</v>
      </c>
      <c r="I9" s="690">
        <f t="shared" si="6"/>
        <v>22876.728714646208</v>
      </c>
      <c r="J9" s="691">
        <f t="shared" si="7"/>
        <v>49756.05149451569</v>
      </c>
      <c r="K9" s="690">
        <f t="shared" si="8"/>
        <v>18652.565157606852</v>
      </c>
      <c r="L9" s="691">
        <f t="shared" si="9"/>
        <v>405.3817511908934</v>
      </c>
      <c r="M9" s="690">
        <f t="shared" si="10"/>
        <v>34019.695411602326</v>
      </c>
      <c r="N9" s="690">
        <f t="shared" si="11"/>
        <v>12697.504397888093</v>
      </c>
      <c r="O9" s="693">
        <f t="shared" si="12"/>
        <v>419982.82446645614</v>
      </c>
    </row>
    <row r="10" spans="1:15" x14ac:dyDescent="0.2">
      <c r="A10" s="663" t="s">
        <v>285</v>
      </c>
      <c r="B10" s="664">
        <f>(FFM!G12+FFM!J12)/2</f>
        <v>27.933140056828098</v>
      </c>
      <c r="C10" s="690">
        <f t="shared" si="0"/>
        <v>495740.49305327155</v>
      </c>
      <c r="D10" s="691">
        <f t="shared" si="1"/>
        <v>2187777.6109213545</v>
      </c>
      <c r="E10" s="690">
        <f t="shared" si="2"/>
        <v>1332350.9843740985</v>
      </c>
      <c r="F10" s="691">
        <f t="shared" si="3"/>
        <v>3173508.5126385237</v>
      </c>
      <c r="G10" s="690">
        <f t="shared" si="4"/>
        <v>2425489.859983881</v>
      </c>
      <c r="H10" s="690">
        <f t="shared" si="5"/>
        <v>2328375.1398541601</v>
      </c>
      <c r="I10" s="690">
        <f t="shared" si="6"/>
        <v>970336.21725614474</v>
      </c>
      <c r="J10" s="691">
        <f t="shared" si="7"/>
        <v>2110445.9206127785</v>
      </c>
      <c r="K10" s="690">
        <f t="shared" si="8"/>
        <v>791164.66969197558</v>
      </c>
      <c r="L10" s="691">
        <f t="shared" si="9"/>
        <v>17194.617285617733</v>
      </c>
      <c r="M10" s="690">
        <f t="shared" si="10"/>
        <v>1442974.7788531638</v>
      </c>
      <c r="N10" s="690">
        <f t="shared" si="11"/>
        <v>538575.6215289603</v>
      </c>
      <c r="O10" s="693">
        <f t="shared" si="12"/>
        <v>17813934.42605393</v>
      </c>
    </row>
    <row r="11" spans="1:15" x14ac:dyDescent="0.2">
      <c r="A11" s="663" t="s">
        <v>151</v>
      </c>
      <c r="B11" s="664">
        <f>(FFM!G13+FFM!J13)/2</f>
        <v>6.9051989186254552</v>
      </c>
      <c r="C11" s="690">
        <f t="shared" si="0"/>
        <v>122549.29841707939</v>
      </c>
      <c r="D11" s="691">
        <f t="shared" si="1"/>
        <v>540828.54854101117</v>
      </c>
      <c r="E11" s="690">
        <f t="shared" si="2"/>
        <v>329363.20649280748</v>
      </c>
      <c r="F11" s="691">
        <f t="shared" si="3"/>
        <v>784505.69843341084</v>
      </c>
      <c r="G11" s="690">
        <f t="shared" si="4"/>
        <v>599592.09470270877</v>
      </c>
      <c r="H11" s="690">
        <f t="shared" si="5"/>
        <v>575584.89540259144</v>
      </c>
      <c r="I11" s="690">
        <f t="shared" si="6"/>
        <v>239871.51406783494</v>
      </c>
      <c r="J11" s="691">
        <f t="shared" si="7"/>
        <v>521711.80394273513</v>
      </c>
      <c r="K11" s="690">
        <f t="shared" si="8"/>
        <v>195579.49484008187</v>
      </c>
      <c r="L11" s="691">
        <f t="shared" si="9"/>
        <v>4250.5873827744863</v>
      </c>
      <c r="M11" s="690">
        <f t="shared" si="10"/>
        <v>356709.91024530446</v>
      </c>
      <c r="N11" s="690">
        <f t="shared" si="11"/>
        <v>133138.336463921</v>
      </c>
      <c r="O11" s="693">
        <f t="shared" si="12"/>
        <v>4403685.3889322607</v>
      </c>
    </row>
    <row r="12" spans="1:15" x14ac:dyDescent="0.2">
      <c r="A12" s="663" t="s">
        <v>286</v>
      </c>
      <c r="B12" s="664">
        <f>(FFM!G14+FFM!J14)/2</f>
        <v>1.9303154410468673</v>
      </c>
      <c r="C12" s="690">
        <f t="shared" si="0"/>
        <v>34258.072187591373</v>
      </c>
      <c r="D12" s="691">
        <f t="shared" si="1"/>
        <v>151186.04264849925</v>
      </c>
      <c r="E12" s="690">
        <f t="shared" si="2"/>
        <v>92071.914321091142</v>
      </c>
      <c r="F12" s="691">
        <f t="shared" si="3"/>
        <v>219304.82830706265</v>
      </c>
      <c r="G12" s="690">
        <f t="shared" si="4"/>
        <v>167613.1118558227</v>
      </c>
      <c r="H12" s="690">
        <f t="shared" si="5"/>
        <v>160902.01373230468</v>
      </c>
      <c r="I12" s="690">
        <f t="shared" si="6"/>
        <v>67054.938305036208</v>
      </c>
      <c r="J12" s="691">
        <f t="shared" si="7"/>
        <v>145842.04782438677</v>
      </c>
      <c r="K12" s="690">
        <f t="shared" si="8"/>
        <v>54673.315467225817</v>
      </c>
      <c r="L12" s="691">
        <f t="shared" si="9"/>
        <v>1188.2314405682407</v>
      </c>
      <c r="M12" s="690">
        <f t="shared" si="10"/>
        <v>99716.554995061349</v>
      </c>
      <c r="N12" s="690">
        <f t="shared" si="11"/>
        <v>37218.187296298478</v>
      </c>
      <c r="O12" s="693">
        <f t="shared" si="12"/>
        <v>1231029.2583809488</v>
      </c>
    </row>
    <row r="13" spans="1:15" x14ac:dyDescent="0.2">
      <c r="A13" s="663" t="s">
        <v>153</v>
      </c>
      <c r="B13" s="664">
        <f>(FFM!G15+FFM!J15)/2</f>
        <v>0.5012171688315693</v>
      </c>
      <c r="C13" s="690">
        <f t="shared" si="0"/>
        <v>8895.2994864817938</v>
      </c>
      <c r="D13" s="691">
        <f t="shared" si="1"/>
        <v>39256.299075157141</v>
      </c>
      <c r="E13" s="690">
        <f t="shared" si="2"/>
        <v>23906.986000118548</v>
      </c>
      <c r="F13" s="691">
        <f t="shared" si="3"/>
        <v>56943.721641446755</v>
      </c>
      <c r="G13" s="690">
        <f t="shared" si="4"/>
        <v>43521.67920174911</v>
      </c>
      <c r="H13" s="690">
        <f t="shared" si="5"/>
        <v>41779.105148983763</v>
      </c>
      <c r="I13" s="690">
        <f t="shared" si="6"/>
        <v>17411.188668313505</v>
      </c>
      <c r="J13" s="691">
        <f t="shared" si="7"/>
        <v>37868.701017847095</v>
      </c>
      <c r="K13" s="690">
        <f t="shared" si="8"/>
        <v>14196.231251331961</v>
      </c>
      <c r="L13" s="691">
        <f t="shared" si="9"/>
        <v>308.53091981447329</v>
      </c>
      <c r="M13" s="690">
        <f t="shared" si="10"/>
        <v>25891.95958208607</v>
      </c>
      <c r="N13" s="690">
        <f t="shared" si="11"/>
        <v>9663.9098817843842</v>
      </c>
      <c r="O13" s="693">
        <f t="shared" si="12"/>
        <v>319643.61187511467</v>
      </c>
    </row>
    <row r="14" spans="1:15" x14ac:dyDescent="0.2">
      <c r="A14" s="663" t="s">
        <v>154</v>
      </c>
      <c r="B14" s="664">
        <f>(FFM!G16+FFM!J16)/2</f>
        <v>1.9325807228374001</v>
      </c>
      <c r="C14" s="690">
        <f t="shared" si="0"/>
        <v>34298.275040169305</v>
      </c>
      <c r="D14" s="691">
        <f t="shared" si="1"/>
        <v>151363.46390417166</v>
      </c>
      <c r="E14" s="690">
        <f t="shared" si="2"/>
        <v>92179.963413221893</v>
      </c>
      <c r="F14" s="691">
        <f t="shared" si="3"/>
        <v>219562.18895578154</v>
      </c>
      <c r="G14" s="690">
        <f t="shared" si="4"/>
        <v>167809.81075905252</v>
      </c>
      <c r="H14" s="690">
        <f t="shared" si="5"/>
        <v>161090.83696503507</v>
      </c>
      <c r="I14" s="690">
        <f t="shared" si="6"/>
        <v>67133.629242008319</v>
      </c>
      <c r="J14" s="691">
        <f t="shared" si="7"/>
        <v>146013.19774538177</v>
      </c>
      <c r="K14" s="690">
        <f t="shared" si="8"/>
        <v>54737.476206617095</v>
      </c>
      <c r="L14" s="691">
        <f t="shared" si="9"/>
        <v>1189.6258650172304</v>
      </c>
      <c r="M14" s="690">
        <f t="shared" si="10"/>
        <v>99833.575297257397</v>
      </c>
      <c r="N14" s="690">
        <f t="shared" si="11"/>
        <v>37261.863930783264</v>
      </c>
      <c r="O14" s="693">
        <f t="shared" si="12"/>
        <v>1232473.9073244971</v>
      </c>
    </row>
    <row r="15" spans="1:15" x14ac:dyDescent="0.2">
      <c r="A15" s="663" t="s">
        <v>155</v>
      </c>
      <c r="B15" s="664">
        <f>(FFM!G17+FFM!J17)/2</f>
        <v>1.0515922770176624</v>
      </c>
      <c r="C15" s="690">
        <f t="shared" si="0"/>
        <v>18663.024380329753</v>
      </c>
      <c r="D15" s="691">
        <f t="shared" si="1"/>
        <v>82362.743135806813</v>
      </c>
      <c r="E15" s="690">
        <f t="shared" si="2"/>
        <v>50158.700475287013</v>
      </c>
      <c r="F15" s="691">
        <f t="shared" si="3"/>
        <v>119472.31983769443</v>
      </c>
      <c r="G15" s="690">
        <f t="shared" si="4"/>
        <v>91311.839612539901</v>
      </c>
      <c r="H15" s="690">
        <f t="shared" si="5"/>
        <v>87655.784852302429</v>
      </c>
      <c r="I15" s="690">
        <f t="shared" si="6"/>
        <v>36530.016679154687</v>
      </c>
      <c r="J15" s="691">
        <f t="shared" si="7"/>
        <v>79451.455391866199</v>
      </c>
      <c r="K15" s="690">
        <f t="shared" si="8"/>
        <v>29784.788061947151</v>
      </c>
      <c r="L15" s="691">
        <f t="shared" si="9"/>
        <v>647.32166548565431</v>
      </c>
      <c r="M15" s="690">
        <f t="shared" si="10"/>
        <v>54323.328143064653</v>
      </c>
      <c r="N15" s="690">
        <f t="shared" si="11"/>
        <v>20275.628269418215</v>
      </c>
      <c r="O15" s="693">
        <f t="shared" si="12"/>
        <v>670636.95050489681</v>
      </c>
    </row>
    <row r="16" spans="1:15" x14ac:dyDescent="0.2">
      <c r="A16" s="663" t="s">
        <v>156</v>
      </c>
      <c r="B16" s="664">
        <f>(FFM!G18+FFM!J18)/2</f>
        <v>0.59048001453962062</v>
      </c>
      <c r="C16" s="690">
        <f t="shared" si="0"/>
        <v>10479.48254118389</v>
      </c>
      <c r="D16" s="691">
        <f t="shared" si="1"/>
        <v>46247.537973823863</v>
      </c>
      <c r="E16" s="690">
        <f t="shared" si="2"/>
        <v>28164.632655854406</v>
      </c>
      <c r="F16" s="691">
        <f t="shared" si="3"/>
        <v>67084.951740910445</v>
      </c>
      <c r="G16" s="690">
        <f t="shared" si="4"/>
        <v>51272.548838951261</v>
      </c>
      <c r="H16" s="690">
        <f t="shared" si="5"/>
        <v>49219.636017924131</v>
      </c>
      <c r="I16" s="690">
        <f t="shared" si="6"/>
        <v>20511.984778942566</v>
      </c>
      <c r="J16" s="691">
        <f t="shared" si="7"/>
        <v>44612.819588247323</v>
      </c>
      <c r="K16" s="690">
        <f t="shared" si="8"/>
        <v>16724.468667415553</v>
      </c>
      <c r="L16" s="691">
        <f t="shared" si="9"/>
        <v>363.47785620087876</v>
      </c>
      <c r="M16" s="690">
        <f t="shared" si="10"/>
        <v>30503.114460604425</v>
      </c>
      <c r="N16" s="690">
        <f t="shared" si="11"/>
        <v>11384.976418122673</v>
      </c>
      <c r="O16" s="693">
        <f t="shared" si="12"/>
        <v>376569.63153818139</v>
      </c>
    </row>
    <row r="17" spans="1:16" x14ac:dyDescent="0.2">
      <c r="A17" s="663" t="s">
        <v>157</v>
      </c>
      <c r="B17" s="664">
        <f>(FFM!G19+FFM!J19)/2</f>
        <v>1.5169815587843385</v>
      </c>
      <c r="C17" s="690">
        <f t="shared" si="0"/>
        <v>26922.472173716076</v>
      </c>
      <c r="D17" s="691">
        <f t="shared" si="1"/>
        <v>118812.93272926135</v>
      </c>
      <c r="E17" s="690">
        <f t="shared" si="2"/>
        <v>72356.772958993155</v>
      </c>
      <c r="F17" s="691">
        <f t="shared" si="3"/>
        <v>172345.60384273599</v>
      </c>
      <c r="G17" s="690">
        <f t="shared" si="4"/>
        <v>131722.51243964749</v>
      </c>
      <c r="H17" s="690">
        <f t="shared" si="5"/>
        <v>126448.44589275825</v>
      </c>
      <c r="I17" s="690">
        <f t="shared" si="6"/>
        <v>52696.622878898546</v>
      </c>
      <c r="J17" s="691">
        <f t="shared" si="7"/>
        <v>114613.23488401121</v>
      </c>
      <c r="K17" s="690">
        <f t="shared" si="8"/>
        <v>42966.247670069999</v>
      </c>
      <c r="L17" s="691">
        <f t="shared" si="9"/>
        <v>933.79825109423928</v>
      </c>
      <c r="M17" s="690">
        <f t="shared" si="10"/>
        <v>78364.484796834644</v>
      </c>
      <c r="N17" s="690">
        <f t="shared" si="11"/>
        <v>29248.744831697961</v>
      </c>
      <c r="O17" s="693">
        <f t="shared" si="12"/>
        <v>967431.87334971898</v>
      </c>
    </row>
    <row r="18" spans="1:16" x14ac:dyDescent="0.2">
      <c r="A18" s="663" t="s">
        <v>158</v>
      </c>
      <c r="B18" s="664">
        <f>(FFM!G20+FFM!J20)/2</f>
        <v>1.1903372325619246</v>
      </c>
      <c r="C18" s="690">
        <f t="shared" si="0"/>
        <v>21125.386024249321</v>
      </c>
      <c r="D18" s="691">
        <f t="shared" si="1"/>
        <v>93229.516679721943</v>
      </c>
      <c r="E18" s="690">
        <f t="shared" si="2"/>
        <v>56776.537844099075</v>
      </c>
      <c r="F18" s="691">
        <f t="shared" si="3"/>
        <v>135235.25578437251</v>
      </c>
      <c r="G18" s="690">
        <f t="shared" si="4"/>
        <v>103359.33882358045</v>
      </c>
      <c r="H18" s="690">
        <f t="shared" si="5"/>
        <v>99220.911601826694</v>
      </c>
      <c r="I18" s="690">
        <f t="shared" si="6"/>
        <v>41349.713106133437</v>
      </c>
      <c r="J18" s="691">
        <f t="shared" si="7"/>
        <v>89934.119526234179</v>
      </c>
      <c r="K18" s="690">
        <f t="shared" si="8"/>
        <v>33714.532684330603</v>
      </c>
      <c r="L18" s="691">
        <f t="shared" si="9"/>
        <v>732.72797519663391</v>
      </c>
      <c r="M18" s="690">
        <f t="shared" si="10"/>
        <v>61490.638052948358</v>
      </c>
      <c r="N18" s="690">
        <f t="shared" si="11"/>
        <v>22950.753604924237</v>
      </c>
      <c r="O18" s="693">
        <f t="shared" si="12"/>
        <v>759119.43170761748</v>
      </c>
    </row>
    <row r="19" spans="1:16" x14ac:dyDescent="0.2">
      <c r="A19" s="663" t="s">
        <v>159</v>
      </c>
      <c r="B19" s="664">
        <f>(FFM!G21+FFM!J21)/2</f>
        <v>2.0076516795706492</v>
      </c>
      <c r="C19" s="690">
        <f t="shared" si="0"/>
        <v>35630.589023817724</v>
      </c>
      <c r="D19" s="691">
        <f t="shared" si="1"/>
        <v>157243.16658125402</v>
      </c>
      <c r="E19" s="690">
        <f t="shared" si="2"/>
        <v>95760.687345367143</v>
      </c>
      <c r="F19" s="691">
        <f t="shared" si="3"/>
        <v>228091.06611603647</v>
      </c>
      <c r="G19" s="690">
        <f t="shared" si="4"/>
        <v>174328.37057600639</v>
      </c>
      <c r="H19" s="690">
        <f t="shared" si="5"/>
        <v>167348.39873672125</v>
      </c>
      <c r="I19" s="690">
        <f t="shared" si="6"/>
        <v>69741.430156411225</v>
      </c>
      <c r="J19" s="691">
        <f t="shared" si="7"/>
        <v>151685.0697251113</v>
      </c>
      <c r="K19" s="690">
        <f t="shared" si="8"/>
        <v>56863.749463633299</v>
      </c>
      <c r="L19" s="691">
        <f t="shared" si="9"/>
        <v>1235.8367946752387</v>
      </c>
      <c r="M19" s="690">
        <f t="shared" si="10"/>
        <v>103711.603222871</v>
      </c>
      <c r="N19" s="690">
        <f t="shared" si="11"/>
        <v>38709.298307982834</v>
      </c>
      <c r="O19" s="693">
        <f t="shared" si="12"/>
        <v>1280349.266049888</v>
      </c>
    </row>
    <row r="20" spans="1:16" x14ac:dyDescent="0.2">
      <c r="A20" s="663" t="s">
        <v>287</v>
      </c>
      <c r="B20" s="664">
        <f>(FFM!G22+FFM!J22)/2</f>
        <v>0.44217454000907963</v>
      </c>
      <c r="C20" s="690">
        <f t="shared" si="0"/>
        <v>7847.4465825807338</v>
      </c>
      <c r="D20" s="691">
        <f t="shared" si="1"/>
        <v>34631.966072673691</v>
      </c>
      <c r="E20" s="690">
        <f t="shared" si="2"/>
        <v>21090.778997553178</v>
      </c>
      <c r="F20" s="691">
        <f t="shared" si="3"/>
        <v>50235.836856723974</v>
      </c>
      <c r="G20" s="690">
        <f t="shared" si="4"/>
        <v>38394.890834082777</v>
      </c>
      <c r="H20" s="690">
        <f t="shared" si="5"/>
        <v>36857.589384474602</v>
      </c>
      <c r="I20" s="690">
        <f t="shared" si="6"/>
        <v>15360.176823890779</v>
      </c>
      <c r="J20" s="691">
        <f t="shared" si="7"/>
        <v>33407.824980023397</v>
      </c>
      <c r="K20" s="690">
        <f t="shared" si="8"/>
        <v>12523.936556390481</v>
      </c>
      <c r="L20" s="691">
        <f t="shared" si="9"/>
        <v>272.18644138941602</v>
      </c>
      <c r="M20" s="690">
        <f t="shared" si="10"/>
        <v>22841.925676312716</v>
      </c>
      <c r="N20" s="690">
        <f t="shared" si="11"/>
        <v>8525.5158290540676</v>
      </c>
      <c r="O20" s="693">
        <f t="shared" si="12"/>
        <v>281990.07503514981</v>
      </c>
    </row>
    <row r="21" spans="1:16" x14ac:dyDescent="0.2">
      <c r="A21" s="663" t="s">
        <v>288</v>
      </c>
      <c r="B21" s="664">
        <f>(FFM!G23+FFM!J23)/2</f>
        <v>1.1854299859787594</v>
      </c>
      <c r="C21" s="690">
        <f t="shared" si="0"/>
        <v>21038.29517675695</v>
      </c>
      <c r="D21" s="691">
        <f t="shared" si="1"/>
        <v>92845.171626352443</v>
      </c>
      <c r="E21" s="690">
        <f t="shared" si="2"/>
        <v>56542.472687000911</v>
      </c>
      <c r="F21" s="691">
        <f t="shared" si="3"/>
        <v>134677.73920107365</v>
      </c>
      <c r="G21" s="690">
        <f t="shared" si="4"/>
        <v>102933.23288619952</v>
      </c>
      <c r="H21" s="690">
        <f t="shared" si="5"/>
        <v>98811.866613467675</v>
      </c>
      <c r="I21" s="690">
        <f t="shared" si="6"/>
        <v>41179.246088212632</v>
      </c>
      <c r="J21" s="691">
        <f t="shared" si="7"/>
        <v>89563.359972821549</v>
      </c>
      <c r="K21" s="690">
        <f t="shared" si="8"/>
        <v>33575.542219450239</v>
      </c>
      <c r="L21" s="691">
        <f t="shared" si="9"/>
        <v>729.70725404777568</v>
      </c>
      <c r="M21" s="690">
        <f t="shared" si="10"/>
        <v>61237.138695600246</v>
      </c>
      <c r="N21" s="690">
        <f t="shared" si="11"/>
        <v>22856.137554843677</v>
      </c>
      <c r="O21" s="693">
        <f t="shared" si="12"/>
        <v>755989.90997582709</v>
      </c>
    </row>
    <row r="22" spans="1:16" x14ac:dyDescent="0.2">
      <c r="A22" s="663" t="s">
        <v>289</v>
      </c>
      <c r="B22" s="664">
        <f>(FFM!G24+FFM!J24)/2</f>
        <v>4.9248857777688082</v>
      </c>
      <c r="C22" s="690">
        <f t="shared" si="0"/>
        <v>87403.897260929371</v>
      </c>
      <c r="D22" s="691">
        <f t="shared" si="1"/>
        <v>385726.58924229397</v>
      </c>
      <c r="E22" s="690">
        <f t="shared" si="2"/>
        <v>234906.50892062183</v>
      </c>
      <c r="F22" s="691">
        <f t="shared" si="3"/>
        <v>559520.58765055484</v>
      </c>
      <c r="G22" s="690">
        <f t="shared" si="4"/>
        <v>427637.58357475174</v>
      </c>
      <c r="H22" s="690">
        <f t="shared" si="5"/>
        <v>410515.30863516987</v>
      </c>
      <c r="I22" s="690">
        <f t="shared" si="6"/>
        <v>171079.76497796646</v>
      </c>
      <c r="J22" s="691">
        <f t="shared" si="7"/>
        <v>372092.25593795674</v>
      </c>
      <c r="K22" s="690">
        <f t="shared" si="8"/>
        <v>139490.06884697574</v>
      </c>
      <c r="L22" s="691">
        <f t="shared" si="9"/>
        <v>3031.579190590016</v>
      </c>
      <c r="M22" s="690">
        <f t="shared" si="10"/>
        <v>254410.56578656635</v>
      </c>
      <c r="N22" s="690">
        <f t="shared" si="11"/>
        <v>94956.149338198113</v>
      </c>
      <c r="O22" s="693">
        <f t="shared" si="12"/>
        <v>3140770.8593625743</v>
      </c>
    </row>
    <row r="23" spans="1:16" x14ac:dyDescent="0.2">
      <c r="A23" s="663" t="s">
        <v>163</v>
      </c>
      <c r="B23" s="664">
        <f>(FFM!G25+FFM!J25)/2</f>
        <v>1.8097911031646545</v>
      </c>
      <c r="C23" s="690">
        <f t="shared" si="0"/>
        <v>32119.079057385024</v>
      </c>
      <c r="D23" s="691">
        <f t="shared" si="1"/>
        <v>141746.34315702121</v>
      </c>
      <c r="E23" s="690">
        <f t="shared" si="2"/>
        <v>86323.161409971523</v>
      </c>
      <c r="F23" s="691">
        <f t="shared" si="3"/>
        <v>205611.95269511268</v>
      </c>
      <c r="G23" s="690">
        <f t="shared" si="4"/>
        <v>157147.74495400459</v>
      </c>
      <c r="H23" s="690">
        <f t="shared" si="5"/>
        <v>150855.6719496976</v>
      </c>
      <c r="I23" s="690">
        <f t="shared" si="6"/>
        <v>62868.186301143971</v>
      </c>
      <c r="J23" s="691">
        <f t="shared" si="7"/>
        <v>136736.01475038962</v>
      </c>
      <c r="K23" s="690">
        <f t="shared" si="8"/>
        <v>51259.64275529897</v>
      </c>
      <c r="L23" s="691">
        <f t="shared" si="9"/>
        <v>1114.0410753149597</v>
      </c>
      <c r="M23" s="690">
        <f t="shared" si="10"/>
        <v>93490.488772352619</v>
      </c>
      <c r="N23" s="690">
        <f t="shared" si="11"/>
        <v>34894.371568735405</v>
      </c>
      <c r="O23" s="693">
        <f t="shared" si="12"/>
        <v>1154166.6984464282</v>
      </c>
    </row>
    <row r="24" spans="1:16" x14ac:dyDescent="0.2">
      <c r="A24" s="663" t="s">
        <v>164</v>
      </c>
      <c r="B24" s="664">
        <f>(FFM!G26+FFM!J26)/2</f>
        <v>35.372202853149702</v>
      </c>
      <c r="C24" s="690">
        <f t="shared" si="0"/>
        <v>627764.48502123682</v>
      </c>
      <c r="D24" s="691">
        <f t="shared" si="1"/>
        <v>2770419.4119834616</v>
      </c>
      <c r="E24" s="690">
        <f t="shared" si="2"/>
        <v>1687178.3549932146</v>
      </c>
      <c r="F24" s="691">
        <f t="shared" si="3"/>
        <v>4018666.9539075829</v>
      </c>
      <c r="G24" s="690">
        <f t="shared" si="4"/>
        <v>3071438.4122609738</v>
      </c>
      <c r="H24" s="690">
        <f t="shared" si="5"/>
        <v>2948460.4164657737</v>
      </c>
      <c r="I24" s="690">
        <f t="shared" si="6"/>
        <v>1228752.9952849769</v>
      </c>
      <c r="J24" s="691">
        <f t="shared" si="7"/>
        <v>2672492.9980175798</v>
      </c>
      <c r="K24" s="690">
        <f t="shared" si="8"/>
        <v>1001865.0652828737</v>
      </c>
      <c r="L24" s="691">
        <f t="shared" si="9"/>
        <v>21773.831705700803</v>
      </c>
      <c r="M24" s="690">
        <f t="shared" si="10"/>
        <v>1827263.117778132</v>
      </c>
      <c r="N24" s="690">
        <f t="shared" si="11"/>
        <v>682007.32526763482</v>
      </c>
      <c r="O24" s="693">
        <f t="shared" si="12"/>
        <v>22558083.367969144</v>
      </c>
    </row>
    <row r="25" spans="1:16" x14ac:dyDescent="0.2">
      <c r="A25" s="663" t="s">
        <v>165</v>
      </c>
      <c r="B25" s="664">
        <f>(FFM!G27+FFM!J27)/2</f>
        <v>1.4125778089406531</v>
      </c>
      <c r="C25" s="690">
        <f t="shared" si="0"/>
        <v>25069.577500262876</v>
      </c>
      <c r="D25" s="691">
        <f t="shared" si="1"/>
        <v>110635.82890421484</v>
      </c>
      <c r="E25" s="690">
        <f t="shared" si="2"/>
        <v>67376.937588047149</v>
      </c>
      <c r="F25" s="691">
        <f t="shared" si="3"/>
        <v>160484.20236025826</v>
      </c>
      <c r="G25" s="690">
        <f t="shared" si="4"/>
        <v>122656.92811669015</v>
      </c>
      <c r="H25" s="690">
        <f t="shared" si="5"/>
        <v>117745.84048752858</v>
      </c>
      <c r="I25" s="690">
        <f t="shared" si="6"/>
        <v>49069.864860123118</v>
      </c>
      <c r="J25" s="691">
        <f t="shared" si="7"/>
        <v>106725.1683255785</v>
      </c>
      <c r="K25" s="690">
        <f t="shared" si="8"/>
        <v>40009.166651192863</v>
      </c>
      <c r="L25" s="691">
        <f t="shared" si="9"/>
        <v>869.53112902728344</v>
      </c>
      <c r="M25" s="690">
        <f t="shared" si="10"/>
        <v>72971.178582938112</v>
      </c>
      <c r="N25" s="690">
        <f t="shared" si="11"/>
        <v>27235.748285386941</v>
      </c>
      <c r="O25" s="693">
        <f t="shared" si="12"/>
        <v>900849.9727912487</v>
      </c>
    </row>
    <row r="26" spans="1:16" ht="13.5" thickBot="1" x14ac:dyDescent="0.25">
      <c r="A26" s="663" t="s">
        <v>166</v>
      </c>
      <c r="B26" s="664">
        <f>(FFM!G28+FFM!J28)/2</f>
        <v>5.5112581027046739</v>
      </c>
      <c r="C26" s="690">
        <f t="shared" si="0"/>
        <v>97810.479008814247</v>
      </c>
      <c r="D26" s="691">
        <f t="shared" si="1"/>
        <v>431652.40501340711</v>
      </c>
      <c r="E26" s="690">
        <f t="shared" si="2"/>
        <v>262875.21357568825</v>
      </c>
      <c r="F26" s="691">
        <f t="shared" si="3"/>
        <v>626138.86117704783</v>
      </c>
      <c r="G26" s="690">
        <f t="shared" si="4"/>
        <v>478553.45359200239</v>
      </c>
      <c r="H26" s="690">
        <f t="shared" si="5"/>
        <v>459392.54697291332</v>
      </c>
      <c r="I26" s="696">
        <f t="shared" si="6"/>
        <v>191449.05760043606</v>
      </c>
      <c r="J26" s="691">
        <f t="shared" si="7"/>
        <v>416394.72528452874</v>
      </c>
      <c r="K26" s="690">
        <f t="shared" si="8"/>
        <v>156098.19331241684</v>
      </c>
      <c r="L26" s="691">
        <f t="shared" si="9"/>
        <v>3392.5285036152623</v>
      </c>
      <c r="M26" s="690">
        <f t="shared" si="10"/>
        <v>284701.48453678819</v>
      </c>
      <c r="N26" s="690">
        <f t="shared" si="11"/>
        <v>106261.92587127781</v>
      </c>
      <c r="O26" s="693">
        <f t="shared" si="12"/>
        <v>3514720.874448936</v>
      </c>
    </row>
    <row r="27" spans="1:16" ht="13.5" thickBot="1" x14ac:dyDescent="0.25">
      <c r="A27" s="668" t="s">
        <v>290</v>
      </c>
      <c r="B27" s="684">
        <f t="shared" ref="B27:N27" si="13">SUM(B7:B26)</f>
        <v>99.999999999999986</v>
      </c>
      <c r="C27" s="698">
        <f t="shared" si="13"/>
        <v>1774739.5818899013</v>
      </c>
      <c r="D27" s="698">
        <f t="shared" si="13"/>
        <v>7832193.6111388411</v>
      </c>
      <c r="E27" s="698">
        <f t="shared" si="13"/>
        <v>4769785.9304880146</v>
      </c>
      <c r="F27" s="698">
        <f t="shared" si="13"/>
        <v>11361087.604838675</v>
      </c>
      <c r="G27" s="698">
        <f t="shared" si="13"/>
        <v>8683198.0044111945</v>
      </c>
      <c r="H27" s="698">
        <f t="shared" si="13"/>
        <v>8335529.536304323</v>
      </c>
      <c r="I27" s="698">
        <f t="shared" si="13"/>
        <v>3473781.3768235901</v>
      </c>
      <c r="J27" s="698">
        <f t="shared" si="13"/>
        <v>7555347.9355318388</v>
      </c>
      <c r="K27" s="698">
        <f t="shared" si="13"/>
        <v>2832351.3506981465</v>
      </c>
      <c r="L27" s="698">
        <f t="shared" si="13"/>
        <v>61556.335058058066</v>
      </c>
      <c r="M27" s="698">
        <f t="shared" si="13"/>
        <v>5165816.574568877</v>
      </c>
      <c r="N27" s="698">
        <f t="shared" si="13"/>
        <v>1928088.3582485332</v>
      </c>
      <c r="O27" s="698">
        <f t="shared" si="12"/>
        <v>63773476.199999988</v>
      </c>
    </row>
    <row r="28" spans="1:16" x14ac:dyDescent="0.2">
      <c r="A28" s="671"/>
      <c r="B28" s="671"/>
      <c r="C28" s="671"/>
      <c r="D28" s="671"/>
      <c r="E28" s="671"/>
      <c r="F28" s="671"/>
      <c r="G28" s="671"/>
      <c r="H28" s="671"/>
      <c r="I28" s="671"/>
      <c r="J28" s="671"/>
      <c r="K28" s="671"/>
      <c r="L28" s="671"/>
      <c r="M28" s="671"/>
      <c r="N28" s="671"/>
      <c r="O28" s="671"/>
      <c r="P28" s="667"/>
    </row>
    <row r="29" spans="1:16" x14ac:dyDescent="0.2">
      <c r="A29" s="672" t="s">
        <v>169</v>
      </c>
      <c r="C29" s="667">
        <f>'X22.55 POE'!B22</f>
        <v>37966991.259842724</v>
      </c>
      <c r="D29" s="667">
        <f>'X22.55 POE'!C22</f>
        <v>52123002.015912622</v>
      </c>
      <c r="E29" s="667">
        <f>'X22.55 POE'!D22</f>
        <v>41389051.900697164</v>
      </c>
      <c r="F29" s="667">
        <f>'X22.55 POE'!E22</f>
        <v>54385926.149769537</v>
      </c>
      <c r="G29" s="667">
        <f>'X22.55 POE'!F22</f>
        <v>44677095.577730276</v>
      </c>
      <c r="H29" s="667">
        <f>'X22.55 POE'!G22</f>
        <v>46474113.337577611</v>
      </c>
      <c r="I29" s="667">
        <f>'X22.55 POE'!H22</f>
        <v>43628667.824033707</v>
      </c>
      <c r="J29" s="667">
        <f>'X22.55 POE'!I22</f>
        <v>44045725.193616912</v>
      </c>
      <c r="K29" s="667">
        <f>'X22.55 POE'!J22</f>
        <v>41134820.215283066</v>
      </c>
      <c r="L29" s="667">
        <f>'X22.55 POE'!K22</f>
        <v>37090165.621511512</v>
      </c>
      <c r="M29" s="667">
        <f>'X22.55 POE'!L22</f>
        <v>40621440.963669822</v>
      </c>
      <c r="N29" s="667">
        <f>'X22.55 POE'!M22</f>
        <v>40041509.940355055</v>
      </c>
      <c r="O29" s="667">
        <f>SUM(C29:N29)</f>
        <v>523578510.00000012</v>
      </c>
    </row>
    <row r="30" spans="1:16" x14ac:dyDescent="0.2">
      <c r="A30" s="658" t="s">
        <v>367</v>
      </c>
      <c r="C30" s="667">
        <f>'F.F.M.ESTIIMACIONES 2014'!C27</f>
        <v>35431649.000000007</v>
      </c>
      <c r="D30" s="667">
        <f>'F.F.M.ESTIIMACIONES 2014'!D27</f>
        <v>40934153.999999993</v>
      </c>
      <c r="E30" s="667">
        <f>'F.F.M.ESTIIMACIONES 2014'!E27</f>
        <v>34575072</v>
      </c>
      <c r="F30" s="667">
        <f>'F.F.M.ESTIIMACIONES 2014'!F27</f>
        <v>38155801</v>
      </c>
      <c r="G30" s="667">
        <f>'F.F.M.ESTIIMACIONES 2014'!G27</f>
        <v>32272527</v>
      </c>
      <c r="H30" s="667">
        <f>'F.F.M.ESTIIMACIONES 2014'!H27</f>
        <v>34566214.000000007</v>
      </c>
      <c r="I30" s="667">
        <f>'F.F.M.ESTIIMACIONES 2014'!I27</f>
        <v>38666123.000000007</v>
      </c>
      <c r="J30" s="667">
        <f>'F.F.M.ESTIIMACIONES 2014'!J27</f>
        <v>33252371</v>
      </c>
      <c r="K30" s="667">
        <f>'F.F.M.ESTIIMACIONES 2014'!K27</f>
        <v>37088604</v>
      </c>
      <c r="L30" s="667">
        <f>'F.F.M.ESTIIMACIONES 2014'!L27</f>
        <v>37002228</v>
      </c>
      <c r="M30" s="667">
        <f>'F.F.M.ESTIIMACIONES 2014'!M27</f>
        <v>33241703</v>
      </c>
      <c r="N30" s="667">
        <f>'F.F.M.ESTIIMACIONES 2014'!N27</f>
        <v>37287098.000000007</v>
      </c>
      <c r="O30" s="667">
        <f>SUM(C30:N30)</f>
        <v>432473544</v>
      </c>
    </row>
    <row r="31" spans="1:16" x14ac:dyDescent="0.2">
      <c r="A31" s="658" t="s">
        <v>356</v>
      </c>
      <c r="C31" s="667">
        <f>C29-C30</f>
        <v>2535342.2598427162</v>
      </c>
      <c r="D31" s="667">
        <f t="shared" ref="D31:N31" si="14">D29-D30</f>
        <v>11188848.01591263</v>
      </c>
      <c r="E31" s="667">
        <f t="shared" si="14"/>
        <v>6813979.9006971642</v>
      </c>
      <c r="F31" s="667">
        <f t="shared" si="14"/>
        <v>16230125.149769537</v>
      </c>
      <c r="G31" s="667">
        <f t="shared" si="14"/>
        <v>12404568.577730276</v>
      </c>
      <c r="H31" s="667">
        <f t="shared" si="14"/>
        <v>11907899.337577604</v>
      </c>
      <c r="I31" s="667">
        <f t="shared" si="14"/>
        <v>4962544.8240336999</v>
      </c>
      <c r="J31" s="667">
        <f t="shared" si="14"/>
        <v>10793354.193616912</v>
      </c>
      <c r="K31" s="667">
        <f t="shared" si="14"/>
        <v>4046216.215283066</v>
      </c>
      <c r="L31" s="667">
        <f t="shared" si="14"/>
        <v>87937.621511511505</v>
      </c>
      <c r="M31" s="667">
        <f t="shared" si="14"/>
        <v>7379737.9636698216</v>
      </c>
      <c r="N31" s="667">
        <f t="shared" si="14"/>
        <v>2754411.9403550476</v>
      </c>
      <c r="O31" s="667">
        <f t="shared" ref="O31" si="15">O29-O30</f>
        <v>91104966.000000119</v>
      </c>
    </row>
    <row r="32" spans="1:16" x14ac:dyDescent="0.2">
      <c r="A32" s="706">
        <v>0.7</v>
      </c>
      <c r="B32" s="706"/>
      <c r="C32" s="667">
        <f>C31*0.7</f>
        <v>1774739.5818899013</v>
      </c>
      <c r="D32" s="667">
        <f t="shared" ref="D32:N32" si="16">D31*0.7</f>
        <v>7832193.6111388402</v>
      </c>
      <c r="E32" s="667">
        <f t="shared" si="16"/>
        <v>4769785.9304880146</v>
      </c>
      <c r="F32" s="667">
        <f t="shared" si="16"/>
        <v>11361087.604838675</v>
      </c>
      <c r="G32" s="667">
        <f t="shared" si="16"/>
        <v>8683198.0044111926</v>
      </c>
      <c r="H32" s="667">
        <f t="shared" si="16"/>
        <v>8335529.5363043221</v>
      </c>
      <c r="I32" s="667">
        <f t="shared" si="16"/>
        <v>3473781.3768235897</v>
      </c>
      <c r="J32" s="667">
        <f t="shared" si="16"/>
        <v>7555347.9355318379</v>
      </c>
      <c r="K32" s="667">
        <f t="shared" si="16"/>
        <v>2832351.350698146</v>
      </c>
      <c r="L32" s="667">
        <f t="shared" si="16"/>
        <v>61556.335058058052</v>
      </c>
      <c r="M32" s="667">
        <f t="shared" si="16"/>
        <v>5165816.5745688751</v>
      </c>
      <c r="N32" s="667">
        <f t="shared" si="16"/>
        <v>1928088.3582485332</v>
      </c>
      <c r="O32" s="667">
        <f t="shared" ref="O32" si="17">O31*0.7</f>
        <v>63773476.200000077</v>
      </c>
    </row>
    <row r="33" spans="1:15" x14ac:dyDescent="0.2">
      <c r="A33" s="706">
        <v>0.3</v>
      </c>
      <c r="B33" s="706"/>
      <c r="C33" s="667">
        <f>C31*0.3</f>
        <v>760602.67795281485</v>
      </c>
      <c r="D33" s="667">
        <f t="shared" ref="D33:N33" si="18">D31*0.3</f>
        <v>3356654.404773789</v>
      </c>
      <c r="E33" s="667">
        <f t="shared" si="18"/>
        <v>2044193.9702091492</v>
      </c>
      <c r="F33" s="667">
        <f t="shared" si="18"/>
        <v>4869037.5449308613</v>
      </c>
      <c r="G33" s="667">
        <f t="shared" si="18"/>
        <v>3721370.5733190826</v>
      </c>
      <c r="H33" s="667">
        <f t="shared" si="18"/>
        <v>3572369.8012732812</v>
      </c>
      <c r="I33" s="667">
        <f t="shared" si="18"/>
        <v>1488763.44721011</v>
      </c>
      <c r="J33" s="667">
        <f t="shared" si="18"/>
        <v>3238006.2580850734</v>
      </c>
      <c r="K33" s="667">
        <f t="shared" si="18"/>
        <v>1213864.8645849198</v>
      </c>
      <c r="L33" s="667">
        <f t="shared" si="18"/>
        <v>26381.286453453449</v>
      </c>
      <c r="M33" s="667">
        <f t="shared" si="18"/>
        <v>2213921.3891009465</v>
      </c>
      <c r="N33" s="667">
        <f t="shared" si="18"/>
        <v>826323.58210651425</v>
      </c>
      <c r="O33" s="667">
        <f t="shared" ref="O33" si="19">O31*0.3</f>
        <v>27331489.800000034</v>
      </c>
    </row>
    <row r="37" spans="1:15" x14ac:dyDescent="0.2">
      <c r="B37" s="658">
        <f>FFM!G9+FFM!J9</f>
        <v>4.4386725942304039</v>
      </c>
    </row>
    <row r="38" spans="1:15" x14ac:dyDescent="0.2">
      <c r="B38" s="658">
        <f>B37/2</f>
        <v>2.219336297115202</v>
      </c>
    </row>
  </sheetData>
  <mergeCells count="4">
    <mergeCell ref="A1:O1"/>
    <mergeCell ref="A2:O2"/>
    <mergeCell ref="A3:O3"/>
    <mergeCell ref="A4:O4"/>
  </mergeCells>
  <printOptions horizontalCentered="1"/>
  <pageMargins left="0.78740157480314965" right="0.78740157480314965" top="0.98425196850393704" bottom="0.98425196850393704" header="0" footer="0"/>
  <pageSetup paperSize="5" scale="95"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tabColor theme="5" tint="0.59999389629810485"/>
  </sheetPr>
  <dimension ref="A1:P32"/>
  <sheetViews>
    <sheetView workbookViewId="0">
      <selection sqref="A1:O1"/>
    </sheetView>
  </sheetViews>
  <sheetFormatPr baseColWidth="10" defaultRowHeight="12.75" x14ac:dyDescent="0.2"/>
  <cols>
    <col min="1" max="1" width="16" style="658" customWidth="1"/>
    <col min="2" max="2" width="9.28515625" style="658" bestFit="1" customWidth="1"/>
    <col min="3" max="12" width="10.85546875" style="658" bestFit="1" customWidth="1"/>
    <col min="13" max="13" width="11.7109375" style="658" bestFit="1" customWidth="1"/>
    <col min="14" max="14" width="10.85546875" style="658" bestFit="1" customWidth="1"/>
    <col min="15" max="16" width="13.7109375" style="658" bestFit="1" customWidth="1"/>
    <col min="17" max="16384" width="11.42578125" style="658"/>
  </cols>
  <sheetData>
    <row r="1" spans="1:15" ht="15.75" x14ac:dyDescent="0.25">
      <c r="A1" s="1019" t="s">
        <v>279</v>
      </c>
      <c r="B1" s="1019"/>
      <c r="C1" s="1019"/>
      <c r="D1" s="1019"/>
      <c r="E1" s="1019"/>
      <c r="F1" s="1019"/>
      <c r="G1" s="1019"/>
      <c r="H1" s="1019"/>
      <c r="I1" s="1019"/>
      <c r="J1" s="1019"/>
      <c r="K1" s="1019"/>
      <c r="L1" s="1019"/>
      <c r="M1" s="1019"/>
      <c r="N1" s="1019"/>
      <c r="O1" s="1019"/>
    </row>
    <row r="2" spans="1:15" x14ac:dyDescent="0.2">
      <c r="A2" s="1020" t="s">
        <v>280</v>
      </c>
      <c r="B2" s="1020"/>
      <c r="C2" s="1020"/>
      <c r="D2" s="1020"/>
      <c r="E2" s="1020"/>
      <c r="F2" s="1020"/>
      <c r="G2" s="1020"/>
      <c r="H2" s="1020"/>
      <c r="I2" s="1020"/>
      <c r="J2" s="1020"/>
      <c r="K2" s="1020"/>
      <c r="L2" s="1020"/>
      <c r="M2" s="1020"/>
      <c r="N2" s="1020"/>
      <c r="O2" s="1020"/>
    </row>
    <row r="3" spans="1:15" x14ac:dyDescent="0.2">
      <c r="A3" s="1020" t="s">
        <v>281</v>
      </c>
      <c r="B3" s="1020"/>
      <c r="C3" s="1020"/>
      <c r="D3" s="1020"/>
      <c r="E3" s="1020"/>
      <c r="F3" s="1020"/>
      <c r="G3" s="1020"/>
      <c r="H3" s="1020"/>
      <c r="I3" s="1020"/>
      <c r="J3" s="1020"/>
      <c r="K3" s="1020"/>
      <c r="L3" s="1020"/>
      <c r="M3" s="1020"/>
      <c r="N3" s="1020"/>
      <c r="O3" s="1020"/>
    </row>
    <row r="4" spans="1:15" x14ac:dyDescent="0.2">
      <c r="A4" s="1021" t="s">
        <v>366</v>
      </c>
      <c r="B4" s="1021"/>
      <c r="C4" s="1021"/>
      <c r="D4" s="1021"/>
      <c r="E4" s="1021"/>
      <c r="F4" s="1021"/>
      <c r="G4" s="1021"/>
      <c r="H4" s="1021"/>
      <c r="I4" s="1021"/>
      <c r="J4" s="1021"/>
      <c r="K4" s="1021"/>
      <c r="L4" s="1021"/>
      <c r="M4" s="1021"/>
      <c r="N4" s="1021"/>
      <c r="O4" s="1021"/>
    </row>
    <row r="5" spans="1:15" ht="13.5" thickBot="1" x14ac:dyDescent="0.25"/>
    <row r="6" spans="1:15" ht="23.25" thickBot="1" x14ac:dyDescent="0.25">
      <c r="A6" s="659" t="s">
        <v>351</v>
      </c>
      <c r="B6" s="660" t="s">
        <v>283</v>
      </c>
      <c r="C6" s="659" t="s">
        <v>1</v>
      </c>
      <c r="D6" s="661" t="s">
        <v>2</v>
      </c>
      <c r="E6" s="659" t="s">
        <v>3</v>
      </c>
      <c r="F6" s="661" t="s">
        <v>4</v>
      </c>
      <c r="G6" s="659" t="s">
        <v>5</v>
      </c>
      <c r="H6" s="659" t="s">
        <v>6</v>
      </c>
      <c r="I6" s="659" t="s">
        <v>7</v>
      </c>
      <c r="J6" s="661" t="s">
        <v>8</v>
      </c>
      <c r="K6" s="659" t="s">
        <v>9</v>
      </c>
      <c r="L6" s="661" t="s">
        <v>10</v>
      </c>
      <c r="M6" s="659" t="s">
        <v>11</v>
      </c>
      <c r="N6" s="659" t="s">
        <v>12</v>
      </c>
      <c r="O6" s="662" t="s">
        <v>169</v>
      </c>
    </row>
    <row r="7" spans="1:15" x14ac:dyDescent="0.2">
      <c r="A7" s="663" t="s">
        <v>284</v>
      </c>
      <c r="B7" s="683">
        <v>3.6200000000000003E-2</v>
      </c>
      <c r="C7" s="690">
        <v>1282625.6938</v>
      </c>
      <c r="D7" s="691">
        <v>1481816.3748000001</v>
      </c>
      <c r="E7" s="690">
        <v>1251617.6064000002</v>
      </c>
      <c r="F7" s="691">
        <v>1381239.9962000002</v>
      </c>
      <c r="G7" s="690">
        <v>1168265.4774000002</v>
      </c>
      <c r="H7" s="690">
        <v>1251296.9468</v>
      </c>
      <c r="I7" s="692">
        <v>1399713.6526000001</v>
      </c>
      <c r="J7" s="691">
        <v>1203735.8302000002</v>
      </c>
      <c r="K7" s="690">
        <v>1342607.4648000002</v>
      </c>
      <c r="L7" s="691">
        <v>1339480.6536000001</v>
      </c>
      <c r="M7" s="690">
        <v>1203349.6486000002</v>
      </c>
      <c r="N7" s="690">
        <v>1349792.9476000001</v>
      </c>
      <c r="O7" s="693">
        <f t="shared" ref="O7:O27" si="0">SUM(C7:N7)</f>
        <v>15655542.2928</v>
      </c>
    </row>
    <row r="8" spans="1:15" x14ac:dyDescent="0.2">
      <c r="A8" s="663" t="s">
        <v>148</v>
      </c>
      <c r="B8" s="683">
        <v>2.47E-2</v>
      </c>
      <c r="C8" s="690">
        <v>875161.73029999994</v>
      </c>
      <c r="D8" s="691">
        <v>1011073.6038</v>
      </c>
      <c r="E8" s="690">
        <v>854004.27839999995</v>
      </c>
      <c r="F8" s="691">
        <v>942448.28469999996</v>
      </c>
      <c r="G8" s="690">
        <v>797131.41689999995</v>
      </c>
      <c r="H8" s="690">
        <v>853785.48580000002</v>
      </c>
      <c r="I8" s="690">
        <v>955053.23809999996</v>
      </c>
      <c r="J8" s="691">
        <v>821333.56369999994</v>
      </c>
      <c r="K8" s="690">
        <v>916088.51879999996</v>
      </c>
      <c r="L8" s="691">
        <v>913955.03159999999</v>
      </c>
      <c r="M8" s="690">
        <v>821070.06409999996</v>
      </c>
      <c r="N8" s="690">
        <v>920991.32059999998</v>
      </c>
      <c r="O8" s="693">
        <f t="shared" si="0"/>
        <v>10682096.536799997</v>
      </c>
    </row>
    <row r="9" spans="1:15" x14ac:dyDescent="0.2">
      <c r="A9" s="663" t="s">
        <v>149</v>
      </c>
      <c r="B9" s="683">
        <v>2.3300000000000001E-2</v>
      </c>
      <c r="C9" s="690">
        <v>825557.42170000006</v>
      </c>
      <c r="D9" s="691">
        <v>953765.78820000007</v>
      </c>
      <c r="E9" s="690">
        <v>805599.17760000005</v>
      </c>
      <c r="F9" s="691">
        <v>889030.16330000001</v>
      </c>
      <c r="G9" s="690">
        <v>751949.87910000002</v>
      </c>
      <c r="H9" s="690">
        <v>805392.78620000009</v>
      </c>
      <c r="I9" s="690">
        <v>900920.66590000002</v>
      </c>
      <c r="J9" s="691">
        <v>774780.24430000002</v>
      </c>
      <c r="K9" s="690">
        <v>864164.47320000001</v>
      </c>
      <c r="L9" s="691">
        <v>862151.91240000003</v>
      </c>
      <c r="M9" s="690">
        <v>774531.67989999999</v>
      </c>
      <c r="N9" s="690">
        <v>868789.38340000005</v>
      </c>
      <c r="O9" s="693">
        <f t="shared" si="0"/>
        <v>10076633.575200001</v>
      </c>
    </row>
    <row r="10" spans="1:15" x14ac:dyDescent="0.2">
      <c r="A10" s="663" t="s">
        <v>285</v>
      </c>
      <c r="B10" s="683">
        <v>2.81E-2</v>
      </c>
      <c r="C10" s="690">
        <v>995629.33689999999</v>
      </c>
      <c r="D10" s="691">
        <v>1150249.7274</v>
      </c>
      <c r="E10" s="690">
        <v>971559.52320000005</v>
      </c>
      <c r="F10" s="691">
        <v>1072178.0081</v>
      </c>
      <c r="G10" s="690">
        <v>906858.00870000001</v>
      </c>
      <c r="H10" s="690">
        <v>971310.61340000003</v>
      </c>
      <c r="I10" s="690">
        <v>1086518.0563000001</v>
      </c>
      <c r="J10" s="691">
        <v>934391.62509999995</v>
      </c>
      <c r="K10" s="690">
        <v>1042189.7724</v>
      </c>
      <c r="L10" s="691">
        <v>1039762.6068</v>
      </c>
      <c r="M10" s="690">
        <v>934091.85430000001</v>
      </c>
      <c r="N10" s="690">
        <v>1047767.4538</v>
      </c>
      <c r="O10" s="693">
        <f t="shared" si="0"/>
        <v>12152506.586399999</v>
      </c>
    </row>
    <row r="11" spans="1:15" x14ac:dyDescent="0.2">
      <c r="A11" s="663" t="s">
        <v>151</v>
      </c>
      <c r="B11" s="683">
        <v>4.6399999999999997E-2</v>
      </c>
      <c r="C11" s="690">
        <v>1644028.5135999999</v>
      </c>
      <c r="D11" s="691">
        <v>1899344.7455999998</v>
      </c>
      <c r="E11" s="690">
        <v>1604283.3407999999</v>
      </c>
      <c r="F11" s="691">
        <v>1770429.1664</v>
      </c>
      <c r="G11" s="690">
        <v>1497445.2527999999</v>
      </c>
      <c r="H11" s="690">
        <v>1603872.3295999998</v>
      </c>
      <c r="I11" s="690">
        <v>1794108.1072</v>
      </c>
      <c r="J11" s="691">
        <v>1542910.0144</v>
      </c>
      <c r="K11" s="690">
        <v>1720911.2255999998</v>
      </c>
      <c r="L11" s="691">
        <v>1716903.3791999999</v>
      </c>
      <c r="M11" s="690">
        <v>1542415.0192</v>
      </c>
      <c r="N11" s="690">
        <v>1730121.3472</v>
      </c>
      <c r="O11" s="693">
        <f t="shared" si="0"/>
        <v>20066772.441599999</v>
      </c>
    </row>
    <row r="12" spans="1:15" x14ac:dyDescent="0.2">
      <c r="A12" s="663" t="s">
        <v>286</v>
      </c>
      <c r="B12" s="683">
        <v>1.4999999999999999E-2</v>
      </c>
      <c r="C12" s="690">
        <v>531474.73499999999</v>
      </c>
      <c r="D12" s="691">
        <v>614012.30999999994</v>
      </c>
      <c r="E12" s="690">
        <v>518626.07999999996</v>
      </c>
      <c r="F12" s="691">
        <v>572337.01500000001</v>
      </c>
      <c r="G12" s="690">
        <v>484087.90499999997</v>
      </c>
      <c r="H12" s="690">
        <v>518493.20999999996</v>
      </c>
      <c r="I12" s="690">
        <v>579991.84499999997</v>
      </c>
      <c r="J12" s="691">
        <v>498785.565</v>
      </c>
      <c r="K12" s="690">
        <v>556329.05999999994</v>
      </c>
      <c r="L12" s="691">
        <v>555033.41999999993</v>
      </c>
      <c r="M12" s="690">
        <v>498625.54499999998</v>
      </c>
      <c r="N12" s="690">
        <v>559306.47</v>
      </c>
      <c r="O12" s="693">
        <f t="shared" si="0"/>
        <v>6487103.1599999992</v>
      </c>
    </row>
    <row r="13" spans="1:15" x14ac:dyDescent="0.2">
      <c r="A13" s="663" t="s">
        <v>153</v>
      </c>
      <c r="B13" s="683">
        <v>1.5299999999999999E-2</v>
      </c>
      <c r="C13" s="690">
        <v>542104.22970000003</v>
      </c>
      <c r="D13" s="691">
        <v>626292.55619999999</v>
      </c>
      <c r="E13" s="690">
        <v>528998.60159999994</v>
      </c>
      <c r="F13" s="691">
        <v>583783.75529999996</v>
      </c>
      <c r="G13" s="690">
        <v>493769.66310000001</v>
      </c>
      <c r="H13" s="690">
        <v>528863.07420000003</v>
      </c>
      <c r="I13" s="690">
        <v>591591.68189999997</v>
      </c>
      <c r="J13" s="691">
        <v>508761.27629999997</v>
      </c>
      <c r="K13" s="690">
        <v>567455.64119999995</v>
      </c>
      <c r="L13" s="691">
        <v>566134.08840000001</v>
      </c>
      <c r="M13" s="690">
        <v>508598.05589999998</v>
      </c>
      <c r="N13" s="690">
        <v>570492.59939999995</v>
      </c>
      <c r="O13" s="693">
        <f t="shared" si="0"/>
        <v>6616845.223199999</v>
      </c>
    </row>
    <row r="14" spans="1:15" x14ac:dyDescent="0.2">
      <c r="A14" s="663" t="s">
        <v>154</v>
      </c>
      <c r="B14" s="683">
        <v>3.1600000000000003E-2</v>
      </c>
      <c r="C14" s="690">
        <v>1119640.1084</v>
      </c>
      <c r="D14" s="691">
        <v>1293519.2664000001</v>
      </c>
      <c r="E14" s="690">
        <v>1092572.2752</v>
      </c>
      <c r="F14" s="691">
        <v>1205723.3116000001</v>
      </c>
      <c r="G14" s="690">
        <v>1019811.8532000001</v>
      </c>
      <c r="H14" s="690">
        <v>1092292.3624000002</v>
      </c>
      <c r="I14" s="690">
        <v>1221849.4868000001</v>
      </c>
      <c r="J14" s="691">
        <v>1050774.9236000001</v>
      </c>
      <c r="K14" s="690">
        <v>1171999.8864000002</v>
      </c>
      <c r="L14" s="691">
        <v>1169270.4048000001</v>
      </c>
      <c r="M14" s="690">
        <v>1050437.8148000001</v>
      </c>
      <c r="N14" s="690">
        <v>1178272.2968000001</v>
      </c>
      <c r="O14" s="693">
        <f t="shared" si="0"/>
        <v>13666163.9904</v>
      </c>
    </row>
    <row r="15" spans="1:15" x14ac:dyDescent="0.2">
      <c r="A15" s="663" t="s">
        <v>155</v>
      </c>
      <c r="B15" s="683">
        <v>2.81E-2</v>
      </c>
      <c r="C15" s="690">
        <v>995629.33689999999</v>
      </c>
      <c r="D15" s="691">
        <v>1150249.7274</v>
      </c>
      <c r="E15" s="690">
        <v>971559.52320000005</v>
      </c>
      <c r="F15" s="691">
        <v>1072178.0081</v>
      </c>
      <c r="G15" s="690">
        <v>906858.00870000001</v>
      </c>
      <c r="H15" s="690">
        <v>971310.61340000003</v>
      </c>
      <c r="I15" s="690">
        <v>1086518.0563000001</v>
      </c>
      <c r="J15" s="691">
        <v>934391.62509999995</v>
      </c>
      <c r="K15" s="690">
        <v>1042189.7724</v>
      </c>
      <c r="L15" s="691">
        <v>1039762.6068</v>
      </c>
      <c r="M15" s="690">
        <v>934091.85430000001</v>
      </c>
      <c r="N15" s="690">
        <v>1047767.4538</v>
      </c>
      <c r="O15" s="693">
        <f t="shared" si="0"/>
        <v>12152506.586399999</v>
      </c>
    </row>
    <row r="16" spans="1:15" x14ac:dyDescent="0.2">
      <c r="A16" s="663" t="s">
        <v>156</v>
      </c>
      <c r="B16" s="683">
        <v>1.6E-2</v>
      </c>
      <c r="C16" s="690">
        <v>566906.38399999996</v>
      </c>
      <c r="D16" s="691">
        <v>654946.46400000004</v>
      </c>
      <c r="E16" s="690">
        <v>553201.152</v>
      </c>
      <c r="F16" s="691">
        <v>610492.81599999999</v>
      </c>
      <c r="G16" s="690">
        <v>516360.43200000003</v>
      </c>
      <c r="H16" s="690">
        <v>553059.424</v>
      </c>
      <c r="I16" s="690">
        <v>618657.96799999999</v>
      </c>
      <c r="J16" s="691">
        <v>532037.93599999999</v>
      </c>
      <c r="K16" s="690">
        <v>593417.66399999999</v>
      </c>
      <c r="L16" s="691">
        <v>592035.64800000004</v>
      </c>
      <c r="M16" s="690">
        <v>531867.24800000002</v>
      </c>
      <c r="N16" s="690">
        <v>596593.56799999997</v>
      </c>
      <c r="O16" s="693">
        <f t="shared" si="0"/>
        <v>6919576.7039999999</v>
      </c>
    </row>
    <row r="17" spans="1:16" x14ac:dyDescent="0.2">
      <c r="A17" s="663" t="s">
        <v>157</v>
      </c>
      <c r="B17" s="683">
        <v>2.8400000000000002E-2</v>
      </c>
      <c r="C17" s="690">
        <v>1006258.8316</v>
      </c>
      <c r="D17" s="691">
        <v>1162529.9736000001</v>
      </c>
      <c r="E17" s="690">
        <v>981932.04480000003</v>
      </c>
      <c r="F17" s="691">
        <v>1083624.7484000002</v>
      </c>
      <c r="G17" s="690">
        <v>916539.7668000001</v>
      </c>
      <c r="H17" s="690">
        <v>981680.4776000001</v>
      </c>
      <c r="I17" s="690">
        <v>1098117.8932</v>
      </c>
      <c r="J17" s="691">
        <v>944367.33640000003</v>
      </c>
      <c r="K17" s="690">
        <v>1053316.3536</v>
      </c>
      <c r="L17" s="691">
        <v>1050863.2752</v>
      </c>
      <c r="M17" s="690">
        <v>944064.3652</v>
      </c>
      <c r="N17" s="690">
        <v>1058953.5832</v>
      </c>
      <c r="O17" s="693">
        <f t="shared" si="0"/>
        <v>12282248.649600001</v>
      </c>
    </row>
    <row r="18" spans="1:16" x14ac:dyDescent="0.2">
      <c r="A18" s="663" t="s">
        <v>158</v>
      </c>
      <c r="B18" s="683">
        <v>3.3300000000000003E-2</v>
      </c>
      <c r="C18" s="690">
        <v>1179873.9117000001</v>
      </c>
      <c r="D18" s="691">
        <v>1363107.3282000001</v>
      </c>
      <c r="E18" s="690">
        <v>1151349.8976</v>
      </c>
      <c r="F18" s="691">
        <v>1270588.1733000001</v>
      </c>
      <c r="G18" s="690">
        <v>1074675.1491</v>
      </c>
      <c r="H18" s="690">
        <v>1151054.9262000001</v>
      </c>
      <c r="I18" s="690">
        <v>1287581.8959000001</v>
      </c>
      <c r="J18" s="691">
        <v>1107303.9543000001</v>
      </c>
      <c r="K18" s="690">
        <v>1235050.5132000002</v>
      </c>
      <c r="L18" s="691">
        <v>1232174.1924000001</v>
      </c>
      <c r="M18" s="690">
        <v>1106948.7099000001</v>
      </c>
      <c r="N18" s="690">
        <v>1241660.3634000001</v>
      </c>
      <c r="O18" s="693">
        <f t="shared" si="0"/>
        <v>14401369.0152</v>
      </c>
    </row>
    <row r="19" spans="1:16" x14ac:dyDescent="0.2">
      <c r="A19" s="663" t="s">
        <v>159</v>
      </c>
      <c r="B19" s="683">
        <v>4.6899999999999997E-2</v>
      </c>
      <c r="C19" s="690">
        <v>1661744.3380999998</v>
      </c>
      <c r="D19" s="691">
        <v>1919811.8225999998</v>
      </c>
      <c r="E19" s="690">
        <v>1621570.8768</v>
      </c>
      <c r="F19" s="691">
        <v>1789507.0669</v>
      </c>
      <c r="G19" s="690">
        <v>1513581.5163</v>
      </c>
      <c r="H19" s="690">
        <v>1621155.4365999999</v>
      </c>
      <c r="I19" s="690">
        <v>1813441.1686999998</v>
      </c>
      <c r="J19" s="691">
        <v>1559536.1998999999</v>
      </c>
      <c r="K19" s="690">
        <v>1739455.5275999999</v>
      </c>
      <c r="L19" s="691">
        <v>1735404.4931999999</v>
      </c>
      <c r="M19" s="690">
        <v>1559035.8706999999</v>
      </c>
      <c r="N19" s="690">
        <v>1748764.8961999998</v>
      </c>
      <c r="O19" s="693">
        <f t="shared" si="0"/>
        <v>20283009.213600002</v>
      </c>
    </row>
    <row r="20" spans="1:16" x14ac:dyDescent="0.2">
      <c r="A20" s="663" t="s">
        <v>287</v>
      </c>
      <c r="B20" s="683">
        <v>2.1299999999999999E-2</v>
      </c>
      <c r="C20" s="690">
        <v>754694.1237</v>
      </c>
      <c r="D20" s="691">
        <v>871897.48019999999</v>
      </c>
      <c r="E20" s="690">
        <v>736449.03359999997</v>
      </c>
      <c r="F20" s="691">
        <v>812718.56129999994</v>
      </c>
      <c r="G20" s="690">
        <v>687404.82510000002</v>
      </c>
      <c r="H20" s="690">
        <v>736260.35820000002</v>
      </c>
      <c r="I20" s="690">
        <v>823588.41989999998</v>
      </c>
      <c r="J20" s="691">
        <v>708275.50229999993</v>
      </c>
      <c r="K20" s="690">
        <v>789987.26520000002</v>
      </c>
      <c r="L20" s="691">
        <v>788147.45640000002</v>
      </c>
      <c r="M20" s="690">
        <v>708048.27390000003</v>
      </c>
      <c r="N20" s="690">
        <v>794215.18739999994</v>
      </c>
      <c r="O20" s="693">
        <f t="shared" si="0"/>
        <v>9211686.4872000013</v>
      </c>
    </row>
    <row r="21" spans="1:16" x14ac:dyDescent="0.2">
      <c r="A21" s="663" t="s">
        <v>288</v>
      </c>
      <c r="B21" s="683">
        <v>2.81E-2</v>
      </c>
      <c r="C21" s="690">
        <v>995629.33689999999</v>
      </c>
      <c r="D21" s="691">
        <v>1150249.7274</v>
      </c>
      <c r="E21" s="690">
        <v>971559.52320000005</v>
      </c>
      <c r="F21" s="691">
        <v>1072178.0081</v>
      </c>
      <c r="G21" s="690">
        <v>906858.00870000001</v>
      </c>
      <c r="H21" s="690">
        <v>971310.61340000003</v>
      </c>
      <c r="I21" s="690">
        <v>1086518.0563000001</v>
      </c>
      <c r="J21" s="691">
        <v>934391.62509999995</v>
      </c>
      <c r="K21" s="690">
        <v>1042189.7724</v>
      </c>
      <c r="L21" s="691">
        <v>1039762.6068</v>
      </c>
      <c r="M21" s="690">
        <v>934091.85430000001</v>
      </c>
      <c r="N21" s="690">
        <v>1047767.4538</v>
      </c>
      <c r="O21" s="693">
        <f t="shared" si="0"/>
        <v>12152506.586399999</v>
      </c>
    </row>
    <row r="22" spans="1:16" x14ac:dyDescent="0.2">
      <c r="A22" s="663" t="s">
        <v>289</v>
      </c>
      <c r="B22" s="683">
        <v>8.3400000000000002E-2</v>
      </c>
      <c r="C22" s="690">
        <v>2954999.5266</v>
      </c>
      <c r="D22" s="691">
        <v>3413908.4435999999</v>
      </c>
      <c r="E22" s="690">
        <v>2883561.0048000002</v>
      </c>
      <c r="F22" s="691">
        <v>3182193.8034000001</v>
      </c>
      <c r="G22" s="690">
        <v>2691528.7518000002</v>
      </c>
      <c r="H22" s="690">
        <v>2882822.2475999999</v>
      </c>
      <c r="I22" s="690">
        <v>3224754.6581999999</v>
      </c>
      <c r="J22" s="691">
        <v>2773247.7414000002</v>
      </c>
      <c r="K22" s="690">
        <v>3093189.5736000002</v>
      </c>
      <c r="L22" s="691">
        <v>3085985.8152000001</v>
      </c>
      <c r="M22" s="690">
        <v>2772358.0301999999</v>
      </c>
      <c r="N22" s="690">
        <v>3109743.9731999999</v>
      </c>
      <c r="O22" s="693">
        <f t="shared" si="0"/>
        <v>36068293.569600001</v>
      </c>
    </row>
    <row r="23" spans="1:16" x14ac:dyDescent="0.2">
      <c r="A23" s="663" t="s">
        <v>163</v>
      </c>
      <c r="B23" s="683">
        <v>3.5000000000000003E-2</v>
      </c>
      <c r="C23" s="690">
        <v>1240107.7150000001</v>
      </c>
      <c r="D23" s="691">
        <v>1432695.3900000001</v>
      </c>
      <c r="E23" s="690">
        <v>1210127.52</v>
      </c>
      <c r="F23" s="691">
        <v>1335453.0350000001</v>
      </c>
      <c r="G23" s="690">
        <v>1129538.4450000001</v>
      </c>
      <c r="H23" s="690">
        <v>1209817.4900000002</v>
      </c>
      <c r="I23" s="690">
        <v>1353314.3050000002</v>
      </c>
      <c r="J23" s="691">
        <v>1163832.9850000001</v>
      </c>
      <c r="K23" s="690">
        <v>1298101.1400000001</v>
      </c>
      <c r="L23" s="691">
        <v>1295077.9800000002</v>
      </c>
      <c r="M23" s="690">
        <v>1163459.6050000002</v>
      </c>
      <c r="N23" s="690">
        <v>1305048.4300000002</v>
      </c>
      <c r="O23" s="693">
        <f t="shared" si="0"/>
        <v>15136574.040000001</v>
      </c>
    </row>
    <row r="24" spans="1:16" x14ac:dyDescent="0.2">
      <c r="A24" s="663" t="s">
        <v>164</v>
      </c>
      <c r="B24" s="683">
        <v>0.39</v>
      </c>
      <c r="C24" s="690">
        <v>13818343.110000001</v>
      </c>
      <c r="D24" s="691">
        <v>15964320.060000001</v>
      </c>
      <c r="E24" s="690">
        <v>13484278.08</v>
      </c>
      <c r="F24" s="691">
        <v>14880762.390000001</v>
      </c>
      <c r="G24" s="690">
        <v>12586285.530000001</v>
      </c>
      <c r="H24" s="690">
        <v>13480823.460000001</v>
      </c>
      <c r="I24" s="690">
        <v>15079787.970000001</v>
      </c>
      <c r="J24" s="691">
        <v>12968424.690000001</v>
      </c>
      <c r="K24" s="690">
        <v>14464555.560000001</v>
      </c>
      <c r="L24" s="691">
        <v>14430868.92</v>
      </c>
      <c r="M24" s="690">
        <v>12964264.17</v>
      </c>
      <c r="N24" s="690">
        <v>14541968.220000001</v>
      </c>
      <c r="O24" s="693">
        <f t="shared" si="0"/>
        <v>168664682.15999997</v>
      </c>
    </row>
    <row r="25" spans="1:16" x14ac:dyDescent="0.2">
      <c r="A25" s="663" t="s">
        <v>165</v>
      </c>
      <c r="B25" s="683">
        <v>3.7900000000000003E-2</v>
      </c>
      <c r="C25" s="690">
        <v>1342859.4971</v>
      </c>
      <c r="D25" s="691">
        <v>1551404.4366000001</v>
      </c>
      <c r="E25" s="690">
        <v>1310395.2288000002</v>
      </c>
      <c r="F25" s="691">
        <v>1446104.8579000002</v>
      </c>
      <c r="G25" s="690">
        <v>1223128.7733</v>
      </c>
      <c r="H25" s="690">
        <v>1310059.5106000002</v>
      </c>
      <c r="I25" s="690">
        <v>1465446.0617000002</v>
      </c>
      <c r="J25" s="691">
        <v>1260264.8609000002</v>
      </c>
      <c r="K25" s="690">
        <v>1405658.0916000002</v>
      </c>
      <c r="L25" s="691">
        <v>1402384.4412</v>
      </c>
      <c r="M25" s="690">
        <v>1259860.5437</v>
      </c>
      <c r="N25" s="690">
        <v>1413181.0142000001</v>
      </c>
      <c r="O25" s="693">
        <f t="shared" si="0"/>
        <v>16390747.317600001</v>
      </c>
    </row>
    <row r="26" spans="1:16" ht="13.5" thickBot="1" x14ac:dyDescent="0.25">
      <c r="A26" s="663" t="s">
        <v>166</v>
      </c>
      <c r="B26" s="683">
        <v>3.1E-2</v>
      </c>
      <c r="C26" s="690">
        <v>1098381.1189999999</v>
      </c>
      <c r="D26" s="691">
        <v>1268958.774</v>
      </c>
      <c r="E26" s="690">
        <v>1071827.2320000001</v>
      </c>
      <c r="F26" s="691">
        <v>1182829.831</v>
      </c>
      <c r="G26" s="690">
        <v>1000448.3369999999</v>
      </c>
      <c r="H26" s="690">
        <v>1071552.6340000001</v>
      </c>
      <c r="I26" s="696">
        <v>1198649.8130000001</v>
      </c>
      <c r="J26" s="691">
        <v>1030823.501</v>
      </c>
      <c r="K26" s="690">
        <v>1149746.7239999999</v>
      </c>
      <c r="L26" s="691">
        <v>1147069.068</v>
      </c>
      <c r="M26" s="690">
        <v>1030492.7929999999</v>
      </c>
      <c r="N26" s="690">
        <v>1155900.0379999999</v>
      </c>
      <c r="O26" s="693">
        <f t="shared" si="0"/>
        <v>13406679.864</v>
      </c>
    </row>
    <row r="27" spans="1:16" ht="13.5" thickBot="1" x14ac:dyDescent="0.25">
      <c r="A27" s="668" t="s">
        <v>290</v>
      </c>
      <c r="B27" s="684">
        <f t="shared" ref="B27:N27" si="1">SUM(B7:B26)</f>
        <v>1</v>
      </c>
      <c r="C27" s="698">
        <f t="shared" si="1"/>
        <v>35431649.000000007</v>
      </c>
      <c r="D27" s="698">
        <f t="shared" si="1"/>
        <v>40934153.999999993</v>
      </c>
      <c r="E27" s="698">
        <f t="shared" si="1"/>
        <v>34575072</v>
      </c>
      <c r="F27" s="698">
        <f t="shared" si="1"/>
        <v>38155801</v>
      </c>
      <c r="G27" s="698">
        <f t="shared" si="1"/>
        <v>32272527</v>
      </c>
      <c r="H27" s="698">
        <f t="shared" si="1"/>
        <v>34566214.000000007</v>
      </c>
      <c r="I27" s="698">
        <f t="shared" si="1"/>
        <v>38666123.000000007</v>
      </c>
      <c r="J27" s="698">
        <f t="shared" si="1"/>
        <v>33252371</v>
      </c>
      <c r="K27" s="698">
        <f t="shared" si="1"/>
        <v>37088604</v>
      </c>
      <c r="L27" s="698">
        <f t="shared" si="1"/>
        <v>37002228</v>
      </c>
      <c r="M27" s="698">
        <f t="shared" si="1"/>
        <v>33241703</v>
      </c>
      <c r="N27" s="698">
        <f t="shared" si="1"/>
        <v>37287098.000000007</v>
      </c>
      <c r="O27" s="698">
        <f t="shared" si="0"/>
        <v>432473544</v>
      </c>
    </row>
    <row r="28" spans="1:16" x14ac:dyDescent="0.2">
      <c r="A28" s="671"/>
      <c r="B28" s="671"/>
      <c r="C28" s="671"/>
      <c r="D28" s="671"/>
      <c r="E28" s="671"/>
      <c r="F28" s="671"/>
      <c r="G28" s="671"/>
      <c r="H28" s="671"/>
      <c r="I28" s="671"/>
      <c r="J28" s="671"/>
      <c r="K28" s="671"/>
      <c r="L28" s="671"/>
      <c r="M28" s="671"/>
      <c r="N28" s="671"/>
      <c r="O28" s="671"/>
      <c r="P28" s="667"/>
    </row>
    <row r="29" spans="1:16" x14ac:dyDescent="0.2">
      <c r="A29" s="672"/>
      <c r="M29" s="667"/>
      <c r="O29" s="667"/>
    </row>
    <row r="31" spans="1:16" x14ac:dyDescent="0.2">
      <c r="M31" s="667"/>
    </row>
    <row r="32" spans="1:16" x14ac:dyDescent="0.2">
      <c r="O32" s="667"/>
    </row>
  </sheetData>
  <mergeCells count="4">
    <mergeCell ref="A1:O1"/>
    <mergeCell ref="A2:O2"/>
    <mergeCell ref="A3:O3"/>
    <mergeCell ref="A4:O4"/>
  </mergeCells>
  <printOptions horizontalCentered="1"/>
  <pageMargins left="0.78740157480314965" right="0.78740157480314965" top="0.98425196850393704" bottom="0.98425196850393704" header="0" footer="0"/>
  <pageSetup paperSize="5" scale="95"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tabColor theme="9" tint="0.39997558519241921"/>
  </sheetPr>
  <dimension ref="A1:T32"/>
  <sheetViews>
    <sheetView topLeftCell="B7" workbookViewId="0">
      <selection activeCell="C32" sqref="C32:N32"/>
    </sheetView>
  </sheetViews>
  <sheetFormatPr baseColWidth="10" defaultRowHeight="12.75" x14ac:dyDescent="0.2"/>
  <cols>
    <col min="1" max="1" width="16.42578125" style="658" bestFit="1" customWidth="1"/>
    <col min="2" max="2" width="12.28515625" style="658" bestFit="1" customWidth="1"/>
    <col min="3" max="3" width="13.85546875" style="658" bestFit="1" customWidth="1"/>
    <col min="4" max="4" width="17" style="658" bestFit="1" customWidth="1"/>
    <col min="5" max="5" width="14.5703125" style="658" customWidth="1"/>
    <col min="6" max="10" width="13.28515625" style="658" bestFit="1" customWidth="1"/>
    <col min="11" max="11" width="11.5703125" style="658" customWidth="1"/>
    <col min="12" max="12" width="11.7109375" style="658" bestFit="1" customWidth="1"/>
    <col min="13" max="14" width="13.28515625" style="658" bestFit="1" customWidth="1"/>
    <col min="15" max="15" width="15.28515625" style="658" bestFit="1" customWidth="1"/>
    <col min="16" max="19" width="11.42578125" style="658"/>
    <col min="20" max="20" width="11.7109375" style="658" bestFit="1" customWidth="1"/>
    <col min="21" max="16384" width="11.42578125" style="658"/>
  </cols>
  <sheetData>
    <row r="1" spans="1:15" ht="15.75" x14ac:dyDescent="0.25">
      <c r="A1" s="1019" t="s">
        <v>279</v>
      </c>
      <c r="B1" s="1019"/>
      <c r="C1" s="1019"/>
      <c r="D1" s="1019"/>
      <c r="E1" s="1019"/>
      <c r="F1" s="1019"/>
      <c r="G1" s="1019"/>
      <c r="H1" s="1019"/>
      <c r="I1" s="1019"/>
      <c r="J1" s="1019"/>
      <c r="K1" s="1019"/>
      <c r="L1" s="1019"/>
      <c r="M1" s="1019"/>
      <c r="N1" s="1019"/>
      <c r="O1" s="1019"/>
    </row>
    <row r="2" spans="1:15" x14ac:dyDescent="0.2">
      <c r="A2" s="1020" t="s">
        <v>280</v>
      </c>
      <c r="B2" s="1020"/>
      <c r="C2" s="1020"/>
      <c r="D2" s="1020"/>
      <c r="E2" s="1020"/>
      <c r="F2" s="1020"/>
      <c r="G2" s="1020"/>
      <c r="H2" s="1020"/>
      <c r="I2" s="1020"/>
      <c r="J2" s="1020"/>
      <c r="K2" s="1020"/>
      <c r="L2" s="1020"/>
      <c r="M2" s="1020"/>
      <c r="N2" s="1020"/>
      <c r="O2" s="1020"/>
    </row>
    <row r="3" spans="1:15" x14ac:dyDescent="0.2">
      <c r="A3" s="1020" t="s">
        <v>281</v>
      </c>
      <c r="B3" s="1020"/>
      <c r="C3" s="1020"/>
      <c r="D3" s="1020"/>
      <c r="E3" s="1020"/>
      <c r="F3" s="1020"/>
      <c r="G3" s="1020"/>
      <c r="H3" s="1020"/>
      <c r="I3" s="1020"/>
      <c r="J3" s="1020"/>
      <c r="K3" s="1020"/>
      <c r="L3" s="1020"/>
      <c r="M3" s="1020"/>
      <c r="N3" s="1020"/>
      <c r="O3" s="1020"/>
    </row>
    <row r="4" spans="1:15" x14ac:dyDescent="0.2">
      <c r="A4" s="1021" t="s">
        <v>369</v>
      </c>
      <c r="B4" s="1021"/>
      <c r="C4" s="1021"/>
      <c r="D4" s="1021"/>
      <c r="E4" s="1021"/>
      <c r="F4" s="1021"/>
      <c r="G4" s="1021"/>
      <c r="H4" s="1021"/>
      <c r="I4" s="1021"/>
      <c r="J4" s="1021"/>
      <c r="K4" s="1021"/>
      <c r="L4" s="1021"/>
      <c r="M4" s="1021"/>
      <c r="N4" s="1021"/>
      <c r="O4" s="1021"/>
    </row>
    <row r="5" spans="1:15" ht="13.5" thickBot="1" x14ac:dyDescent="0.25">
      <c r="A5" s="658" t="s">
        <v>356</v>
      </c>
    </row>
    <row r="6" spans="1:15" ht="23.25" thickBot="1" x14ac:dyDescent="0.25">
      <c r="A6" s="685" t="s">
        <v>357</v>
      </c>
      <c r="B6" s="686" t="s">
        <v>283</v>
      </c>
      <c r="C6" s="685" t="s">
        <v>1</v>
      </c>
      <c r="D6" s="687" t="s">
        <v>2</v>
      </c>
      <c r="E6" s="685" t="s">
        <v>3</v>
      </c>
      <c r="F6" s="687" t="s">
        <v>4</v>
      </c>
      <c r="G6" s="685" t="s">
        <v>5</v>
      </c>
      <c r="H6" s="685" t="s">
        <v>6</v>
      </c>
      <c r="I6" s="685" t="s">
        <v>7</v>
      </c>
      <c r="J6" s="687" t="s">
        <v>8</v>
      </c>
      <c r="K6" s="685" t="s">
        <v>9</v>
      </c>
      <c r="L6" s="687" t="s">
        <v>10</v>
      </c>
      <c r="M6" s="685" t="s">
        <v>11</v>
      </c>
      <c r="N6" s="685" t="s">
        <v>12</v>
      </c>
      <c r="O6" s="688" t="s">
        <v>169</v>
      </c>
    </row>
    <row r="7" spans="1:15" x14ac:dyDescent="0.2">
      <c r="A7" s="663" t="s">
        <v>284</v>
      </c>
      <c r="B7" s="664">
        <f>FGP!U8</f>
        <v>3.6801172209122921</v>
      </c>
      <c r="C7" s="690">
        <f>$C$32*B7/100</f>
        <v>918503.23252858629</v>
      </c>
      <c r="D7" s="690">
        <f>$D$32*B7/100</f>
        <v>1837576.5025345788</v>
      </c>
      <c r="E7" s="690">
        <f>$E$32*B7/100</f>
        <v>1334453.6659757087</v>
      </c>
      <c r="F7" s="690">
        <f>$F$32*B7/100</f>
        <v>2353830.3410116751</v>
      </c>
      <c r="G7" s="690">
        <f>$G$32*B7/100</f>
        <v>1855435.0485964282</v>
      </c>
      <c r="H7" s="690">
        <f>$H$32*B7/100</f>
        <v>2144039.0807869802</v>
      </c>
      <c r="I7" s="690">
        <f>$I$32*B7/100</f>
        <v>1225241.0256270689</v>
      </c>
      <c r="J7" s="690">
        <f>$J$32*B7/100</f>
        <v>1711303.7835293359</v>
      </c>
      <c r="K7" s="690">
        <f>$K$32*B7/100</f>
        <v>1102659.419363698</v>
      </c>
      <c r="L7" s="690">
        <f>$L$32*B7/100</f>
        <v>243665.90634442185</v>
      </c>
      <c r="M7" s="690">
        <f>$M$32*B7/100</f>
        <v>1366243.1778278416</v>
      </c>
      <c r="N7" s="690">
        <f>$N$32*B7/100</f>
        <v>975932.10653903056</v>
      </c>
      <c r="O7" s="693">
        <f>SUM(C7:N7)</f>
        <v>17068883.290665355</v>
      </c>
    </row>
    <row r="8" spans="1:15" x14ac:dyDescent="0.2">
      <c r="A8" s="663" t="s">
        <v>148</v>
      </c>
      <c r="B8" s="664">
        <f>FGP!U9</f>
        <v>2.5424050023415425</v>
      </c>
      <c r="C8" s="690">
        <f t="shared" ref="C8:C26" si="0">$C$32*B8/100</f>
        <v>634546.96491125959</v>
      </c>
      <c r="D8" s="690">
        <f t="shared" ref="D8:D26" si="1">$D$32*B8/100</f>
        <v>1269487.7395973396</v>
      </c>
      <c r="E8" s="690">
        <f t="shared" ref="E8:E26" si="2">$E$32*B8/100</f>
        <v>921905.87204409868</v>
      </c>
      <c r="F8" s="690">
        <f t="shared" ref="F8:F26" si="3">$F$32*B8/100</f>
        <v>1626141.1456257543</v>
      </c>
      <c r="G8" s="690">
        <f t="shared" ref="G8:G26" si="4">$G$32*B8/100</f>
        <v>1281825.2968317091</v>
      </c>
      <c r="H8" s="690">
        <f t="shared" ref="H8:H26" si="5">$H$32*B8/100</f>
        <v>1481207.0803704695</v>
      </c>
      <c r="I8" s="690">
        <f t="shared" ref="I8:I26" si="6">$I$32*B8/100</f>
        <v>846456.4375631836</v>
      </c>
      <c r="J8" s="690">
        <f t="shared" ref="J8:J26" si="7">$J$32*B8/100</f>
        <v>1182252.368225497</v>
      </c>
      <c r="K8" s="690">
        <f t="shared" ref="K8:K26" si="8">$K$32*B8/100</f>
        <v>761771.06743744668</v>
      </c>
      <c r="L8" s="690">
        <f t="shared" ref="L8:L26" si="9">$L$32*B8/100</f>
        <v>168336.32789462394</v>
      </c>
      <c r="M8" s="690">
        <f t="shared" ref="M8:M26" si="10">$M$32*B8/100</f>
        <v>943867.62192956102</v>
      </c>
      <c r="N8" s="690">
        <f t="shared" ref="N8:N26" si="11">$N$32*B8/100</f>
        <v>674221.64041705814</v>
      </c>
      <c r="O8" s="693">
        <f t="shared" ref="O8:O26" si="12">SUM(C8:N8)</f>
        <v>11792019.562848004</v>
      </c>
    </row>
    <row r="9" spans="1:15" x14ac:dyDescent="0.2">
      <c r="A9" s="663" t="s">
        <v>149</v>
      </c>
      <c r="B9" s="664">
        <f>FGP!U10</f>
        <v>2.6237819217741962</v>
      </c>
      <c r="C9" s="690">
        <f t="shared" si="0"/>
        <v>654857.44935109536</v>
      </c>
      <c r="D9" s="690">
        <f t="shared" si="1"/>
        <v>1310121.3134814412</v>
      </c>
      <c r="E9" s="690">
        <f t="shared" si="2"/>
        <v>951414.09744671092</v>
      </c>
      <c r="F9" s="690">
        <f t="shared" si="3"/>
        <v>1678190.4284394032</v>
      </c>
      <c r="G9" s="690">
        <f t="shared" si="4"/>
        <v>1322853.7694043091</v>
      </c>
      <c r="H9" s="690">
        <f t="shared" si="5"/>
        <v>1528617.3352792549</v>
      </c>
      <c r="I9" s="690">
        <f t="shared" si="6"/>
        <v>873549.68874047056</v>
      </c>
      <c r="J9" s="690">
        <f t="shared" si="7"/>
        <v>1220093.7253773052</v>
      </c>
      <c r="K9" s="690">
        <f t="shared" si="8"/>
        <v>786153.72194130858</v>
      </c>
      <c r="L9" s="690">
        <f t="shared" si="9"/>
        <v>173724.41192531661</v>
      </c>
      <c r="M9" s="690">
        <f t="shared" si="10"/>
        <v>974078.7957410157</v>
      </c>
      <c r="N9" s="690">
        <f t="shared" si="11"/>
        <v>695802.02594235376</v>
      </c>
      <c r="O9" s="693">
        <f t="shared" si="12"/>
        <v>12169456.763069985</v>
      </c>
    </row>
    <row r="10" spans="1:15" x14ac:dyDescent="0.2">
      <c r="A10" s="663" t="s">
        <v>285</v>
      </c>
      <c r="B10" s="664">
        <f>FGP!U11</f>
        <v>10.811611930172436</v>
      </c>
      <c r="C10" s="690">
        <f t="shared" si="0"/>
        <v>2698419.6183420108</v>
      </c>
      <c r="D10" s="690">
        <f t="shared" si="1"/>
        <v>5398513.9181198059</v>
      </c>
      <c r="E10" s="690">
        <f t="shared" si="2"/>
        <v>3920417.2881614757</v>
      </c>
      <c r="F10" s="690">
        <f t="shared" si="3"/>
        <v>6915187.3891057782</v>
      </c>
      <c r="G10" s="690">
        <f t="shared" si="4"/>
        <v>5450979.5484428443</v>
      </c>
      <c r="H10" s="690">
        <f t="shared" si="5"/>
        <v>6298853.3008864513</v>
      </c>
      <c r="I10" s="690">
        <f t="shared" si="6"/>
        <v>3599567.5395150795</v>
      </c>
      <c r="J10" s="690">
        <f t="shared" si="7"/>
        <v>5027544.3121804707</v>
      </c>
      <c r="K10" s="690">
        <f t="shared" si="8"/>
        <v>3239441.8486360745</v>
      </c>
      <c r="L10" s="690">
        <f t="shared" si="9"/>
        <v>715852.52910953853</v>
      </c>
      <c r="M10" s="690">
        <f t="shared" si="10"/>
        <v>4013809.9289289559</v>
      </c>
      <c r="N10" s="690">
        <f t="shared" si="11"/>
        <v>2867136.7167701339</v>
      </c>
      <c r="O10" s="693">
        <f t="shared" si="12"/>
        <v>50145723.938198619</v>
      </c>
    </row>
    <row r="11" spans="1:15" x14ac:dyDescent="0.2">
      <c r="A11" s="663" t="s">
        <v>151</v>
      </c>
      <c r="B11" s="664">
        <f>FGP!U12</f>
        <v>7.2261420913986409</v>
      </c>
      <c r="C11" s="690">
        <f t="shared" si="0"/>
        <v>1803538.9829281515</v>
      </c>
      <c r="D11" s="690">
        <f t="shared" si="1"/>
        <v>3608197.2703680592</v>
      </c>
      <c r="E11" s="690">
        <f t="shared" si="2"/>
        <v>2620283.8730060416</v>
      </c>
      <c r="F11" s="690">
        <f t="shared" si="3"/>
        <v>4621894.2175377682</v>
      </c>
      <c r="G11" s="690">
        <f t="shared" si="4"/>
        <v>3643263.6510407715</v>
      </c>
      <c r="H11" s="690">
        <f t="shared" si="5"/>
        <v>4209955.8566337572</v>
      </c>
      <c r="I11" s="690">
        <f t="shared" si="6"/>
        <v>2405837.9708887036</v>
      </c>
      <c r="J11" s="690">
        <f t="shared" si="7"/>
        <v>3360252.8286491781</v>
      </c>
      <c r="K11" s="690">
        <f t="shared" si="8"/>
        <v>2165141.2616595845</v>
      </c>
      <c r="L11" s="690">
        <f t="shared" si="9"/>
        <v>478453.36340610817</v>
      </c>
      <c r="M11" s="690">
        <f t="shared" si="10"/>
        <v>2682704.5829645051</v>
      </c>
      <c r="N11" s="690">
        <f t="shared" si="11"/>
        <v>1916304.1963268775</v>
      </c>
      <c r="O11" s="693">
        <f t="shared" si="12"/>
        <v>33515828.055409506</v>
      </c>
    </row>
    <row r="12" spans="1:15" x14ac:dyDescent="0.2">
      <c r="A12" s="663" t="s">
        <v>286</v>
      </c>
      <c r="B12" s="664">
        <f>FGP!U13</f>
        <v>3.8727652527570857</v>
      </c>
      <c r="C12" s="690">
        <f t="shared" si="0"/>
        <v>966585.35311545385</v>
      </c>
      <c r="D12" s="690">
        <f t="shared" si="1"/>
        <v>1933770.5842246637</v>
      </c>
      <c r="E12" s="690">
        <f t="shared" si="2"/>
        <v>1404310.10176461</v>
      </c>
      <c r="F12" s="690">
        <f t="shared" si="3"/>
        <v>2477049.4547713306</v>
      </c>
      <c r="G12" s="690">
        <f t="shared" si="4"/>
        <v>1952563.9955486509</v>
      </c>
      <c r="H12" s="690">
        <f t="shared" si="5"/>
        <v>2256275.970080833</v>
      </c>
      <c r="I12" s="690">
        <f t="shared" si="6"/>
        <v>1289380.3608583629</v>
      </c>
      <c r="J12" s="690">
        <f t="shared" si="7"/>
        <v>1800887.6978438229</v>
      </c>
      <c r="K12" s="690">
        <f t="shared" si="8"/>
        <v>1160381.8108485215</v>
      </c>
      <c r="L12" s="690">
        <f t="shared" si="9"/>
        <v>256421.41234248728</v>
      </c>
      <c r="M12" s="690">
        <f t="shared" si="10"/>
        <v>1437763.7418289694</v>
      </c>
      <c r="N12" s="690">
        <f t="shared" si="11"/>
        <v>1027020.5334159007</v>
      </c>
      <c r="O12" s="693">
        <f t="shared" si="12"/>
        <v>17962411.01664361</v>
      </c>
    </row>
    <row r="13" spans="1:15" x14ac:dyDescent="0.2">
      <c r="A13" s="663" t="s">
        <v>153</v>
      </c>
      <c r="B13" s="664">
        <f>FGP!U14</f>
        <v>2.7904185385530926</v>
      </c>
      <c r="C13" s="690">
        <f t="shared" si="0"/>
        <v>696447.50259703561</v>
      </c>
      <c r="D13" s="690">
        <f t="shared" si="1"/>
        <v>1393327.2314111018</v>
      </c>
      <c r="E13" s="690">
        <f t="shared" si="2"/>
        <v>1011838.4890619494</v>
      </c>
      <c r="F13" s="690">
        <f t="shared" si="3"/>
        <v>1784772.4476937973</v>
      </c>
      <c r="G13" s="690">
        <f t="shared" si="4"/>
        <v>1406868.3267108425</v>
      </c>
      <c r="H13" s="690">
        <f t="shared" si="5"/>
        <v>1625699.9544506925</v>
      </c>
      <c r="I13" s="690">
        <f t="shared" si="6"/>
        <v>929028.90502439823</v>
      </c>
      <c r="J13" s="690">
        <f t="shared" si="7"/>
        <v>1297581.9834001195</v>
      </c>
      <c r="K13" s="690">
        <f t="shared" si="8"/>
        <v>836082.41281507339</v>
      </c>
      <c r="L13" s="690">
        <f t="shared" si="9"/>
        <v>184757.66435186088</v>
      </c>
      <c r="M13" s="690">
        <f t="shared" si="10"/>
        <v>1035942.6243051619</v>
      </c>
      <c r="N13" s="690">
        <f t="shared" si="11"/>
        <v>739992.47278884053</v>
      </c>
      <c r="O13" s="693">
        <f t="shared" si="12"/>
        <v>12942340.014610874</v>
      </c>
    </row>
    <row r="14" spans="1:15" x14ac:dyDescent="0.2">
      <c r="A14" s="663" t="s">
        <v>154</v>
      </c>
      <c r="B14" s="664">
        <f>FGP!U15</f>
        <v>3.3598990994718916</v>
      </c>
      <c r="C14" s="690">
        <f t="shared" si="0"/>
        <v>838581.49036616471</v>
      </c>
      <c r="D14" s="690">
        <f t="shared" si="1"/>
        <v>1677683.4175260596</v>
      </c>
      <c r="E14" s="690">
        <f t="shared" si="2"/>
        <v>1218338.8195138162</v>
      </c>
      <c r="F14" s="690">
        <f t="shared" si="3"/>
        <v>2149016.4492951157</v>
      </c>
      <c r="G14" s="690">
        <f t="shared" si="4"/>
        <v>1693988.037522977</v>
      </c>
      <c r="H14" s="690">
        <f t="shared" si="5"/>
        <v>1957479.7606536362</v>
      </c>
      <c r="I14" s="690">
        <f t="shared" si="6"/>
        <v>1118629.1010643104</v>
      </c>
      <c r="J14" s="690">
        <f t="shared" si="7"/>
        <v>1562398.0694228248</v>
      </c>
      <c r="K14" s="690">
        <f t="shared" si="8"/>
        <v>1006713.6908279979</v>
      </c>
      <c r="L14" s="690">
        <f t="shared" si="9"/>
        <v>222463.79942638709</v>
      </c>
      <c r="M14" s="690">
        <f t="shared" si="10"/>
        <v>1247362.2298654448</v>
      </c>
      <c r="N14" s="690">
        <f t="shared" si="11"/>
        <v>891013.3044874398</v>
      </c>
      <c r="O14" s="693">
        <f t="shared" si="12"/>
        <v>15583668.169972174</v>
      </c>
    </row>
    <row r="15" spans="1:15" x14ac:dyDescent="0.2">
      <c r="A15" s="663" t="s">
        <v>155</v>
      </c>
      <c r="B15" s="664">
        <f>FGP!U16</f>
        <v>3.2387652857906701</v>
      </c>
      <c r="C15" s="690">
        <f t="shared" si="0"/>
        <v>808348.26877135481</v>
      </c>
      <c r="D15" s="690">
        <f t="shared" si="1"/>
        <v>1617198.2111260761</v>
      </c>
      <c r="E15" s="690">
        <f t="shared" si="2"/>
        <v>1174414.2779742258</v>
      </c>
      <c r="F15" s="690">
        <f t="shared" si="3"/>
        <v>2071538.3612752373</v>
      </c>
      <c r="G15" s="690">
        <f t="shared" si="4"/>
        <v>1632915.0037084257</v>
      </c>
      <c r="H15" s="690">
        <f t="shared" si="5"/>
        <v>1886907.1090376845</v>
      </c>
      <c r="I15" s="690">
        <f t="shared" si="6"/>
        <v>1078299.3753508166</v>
      </c>
      <c r="J15" s="690">
        <f t="shared" si="7"/>
        <v>1506069.2241110378</v>
      </c>
      <c r="K15" s="690">
        <f t="shared" si="8"/>
        <v>970418.83046321454</v>
      </c>
      <c r="L15" s="690">
        <f t="shared" si="9"/>
        <v>214443.35368301097</v>
      </c>
      <c r="M15" s="690">
        <f t="shared" si="10"/>
        <v>1202391.3127419921</v>
      </c>
      <c r="N15" s="690">
        <f t="shared" si="11"/>
        <v>858889.76850678027</v>
      </c>
      <c r="O15" s="693">
        <f t="shared" si="12"/>
        <v>15021833.096749857</v>
      </c>
    </row>
    <row r="16" spans="1:15" x14ac:dyDescent="0.2">
      <c r="A16" s="663" t="s">
        <v>156</v>
      </c>
      <c r="B16" s="664">
        <f>FGP!U17</f>
        <v>2.4067721623105878</v>
      </c>
      <c r="C16" s="690">
        <f t="shared" si="0"/>
        <v>600694.99919192272</v>
      </c>
      <c r="D16" s="690">
        <f t="shared" si="1"/>
        <v>1201762.7990990777</v>
      </c>
      <c r="E16" s="690">
        <f t="shared" si="2"/>
        <v>872723.81350055698</v>
      </c>
      <c r="F16" s="690">
        <f t="shared" si="3"/>
        <v>1539389.3725332383</v>
      </c>
      <c r="G16" s="690">
        <f t="shared" si="4"/>
        <v>1213442.1693312973</v>
      </c>
      <c r="H16" s="690">
        <f t="shared" si="5"/>
        <v>1402187.2850193838</v>
      </c>
      <c r="I16" s="690">
        <f t="shared" si="6"/>
        <v>801299.47378933872</v>
      </c>
      <c r="J16" s="690">
        <f t="shared" si="7"/>
        <v>1119181.2815229211</v>
      </c>
      <c r="K16" s="690">
        <f t="shared" si="8"/>
        <v>721131.91937299806</v>
      </c>
      <c r="L16" s="690">
        <f t="shared" si="9"/>
        <v>159355.88055767262</v>
      </c>
      <c r="M16" s="690">
        <f t="shared" si="10"/>
        <v>893513.94261502835</v>
      </c>
      <c r="N16" s="690">
        <f t="shared" si="11"/>
        <v>638253.10046536941</v>
      </c>
      <c r="O16" s="693">
        <f t="shared" si="12"/>
        <v>11162936.036998805</v>
      </c>
    </row>
    <row r="17" spans="1:20" x14ac:dyDescent="0.2">
      <c r="A17" s="663" t="s">
        <v>157</v>
      </c>
      <c r="B17" s="664">
        <f>FGP!U18</f>
        <v>3.6087000422530968</v>
      </c>
      <c r="C17" s="690">
        <f t="shared" si="0"/>
        <v>900678.55317223654</v>
      </c>
      <c r="D17" s="690">
        <f t="shared" si="1"/>
        <v>1801916.0815469781</v>
      </c>
      <c r="E17" s="690">
        <f t="shared" si="2"/>
        <v>1308556.9593887972</v>
      </c>
      <c r="F17" s="690">
        <f t="shared" si="3"/>
        <v>2308151.3824605145</v>
      </c>
      <c r="G17" s="690">
        <f t="shared" si="4"/>
        <v>1819428.0606659474</v>
      </c>
      <c r="H17" s="690">
        <f t="shared" si="5"/>
        <v>2102431.3783978424</v>
      </c>
      <c r="I17" s="690">
        <f t="shared" si="6"/>
        <v>1201463.7239882662</v>
      </c>
      <c r="J17" s="690">
        <f t="shared" si="7"/>
        <v>1678093.8391955046</v>
      </c>
      <c r="K17" s="690">
        <f t="shared" si="8"/>
        <v>1081260.9638184642</v>
      </c>
      <c r="L17" s="690">
        <f t="shared" si="9"/>
        <v>238937.27121626132</v>
      </c>
      <c r="M17" s="690">
        <f t="shared" si="10"/>
        <v>1339729.5568571896</v>
      </c>
      <c r="N17" s="690">
        <f t="shared" si="11"/>
        <v>956992.94959699584</v>
      </c>
      <c r="O17" s="693">
        <f t="shared" si="12"/>
        <v>16737640.720304998</v>
      </c>
    </row>
    <row r="18" spans="1:20" x14ac:dyDescent="0.2">
      <c r="A18" s="663" t="s">
        <v>158</v>
      </c>
      <c r="B18" s="664">
        <f>FGP!U19</f>
        <v>3.449447846465401</v>
      </c>
      <c r="C18" s="690">
        <f t="shared" si="0"/>
        <v>860931.5429990082</v>
      </c>
      <c r="D18" s="690">
        <f t="shared" si="1"/>
        <v>1722397.3935841089</v>
      </c>
      <c r="E18" s="690">
        <f t="shared" si="2"/>
        <v>1250810.2454319822</v>
      </c>
      <c r="F18" s="690">
        <f t="shared" si="3"/>
        <v>2206292.4937849836</v>
      </c>
      <c r="G18" s="690">
        <f t="shared" si="4"/>
        <v>1739136.5677886687</v>
      </c>
      <c r="H18" s="690">
        <f t="shared" si="5"/>
        <v>2009650.9284899679</v>
      </c>
      <c r="I18" s="690">
        <f t="shared" si="6"/>
        <v>1148443.0423122873</v>
      </c>
      <c r="J18" s="690">
        <f t="shared" si="7"/>
        <v>1604039.4358090602</v>
      </c>
      <c r="K18" s="690">
        <f t="shared" si="8"/>
        <v>1033544.8387065243</v>
      </c>
      <c r="L18" s="690">
        <f t="shared" si="9"/>
        <v>228392.95202896959</v>
      </c>
      <c r="M18" s="690">
        <f t="shared" si="10"/>
        <v>1280607.1939029177</v>
      </c>
      <c r="N18" s="690">
        <f t="shared" si="11"/>
        <v>914760.7810065822</v>
      </c>
      <c r="O18" s="693">
        <f t="shared" si="12"/>
        <v>15999007.415845061</v>
      </c>
    </row>
    <row r="19" spans="1:20" x14ac:dyDescent="0.2">
      <c r="A19" s="663" t="s">
        <v>159</v>
      </c>
      <c r="B19" s="664">
        <f>FGP!U20</f>
        <v>3.5775490353218853</v>
      </c>
      <c r="C19" s="690">
        <f t="shared" si="0"/>
        <v>892903.71915329585</v>
      </c>
      <c r="D19" s="690">
        <f t="shared" si="1"/>
        <v>1786361.588325456</v>
      </c>
      <c r="E19" s="690">
        <f t="shared" si="2"/>
        <v>1297261.238925881</v>
      </c>
      <c r="F19" s="690">
        <f t="shared" si="3"/>
        <v>2288226.9667785671</v>
      </c>
      <c r="G19" s="690">
        <f t="shared" si="4"/>
        <v>1803722.4006041435</v>
      </c>
      <c r="H19" s="690">
        <f t="shared" si="5"/>
        <v>2084282.778161183</v>
      </c>
      <c r="I19" s="690">
        <f t="shared" si="6"/>
        <v>1191092.453349161</v>
      </c>
      <c r="J19" s="690">
        <f t="shared" si="7"/>
        <v>1663608.2038686723</v>
      </c>
      <c r="K19" s="690">
        <f t="shared" si="8"/>
        <v>1071927.3069935737</v>
      </c>
      <c r="L19" s="690">
        <f t="shared" si="9"/>
        <v>236874.71780239115</v>
      </c>
      <c r="M19" s="690">
        <f t="shared" si="10"/>
        <v>1328164.7484156571</v>
      </c>
      <c r="N19" s="690">
        <f t="shared" si="11"/>
        <v>948731.99865705462</v>
      </c>
      <c r="O19" s="693">
        <f t="shared" si="12"/>
        <v>16593158.121035036</v>
      </c>
    </row>
    <row r="20" spans="1:20" x14ac:dyDescent="0.2">
      <c r="A20" s="663" t="s">
        <v>287</v>
      </c>
      <c r="B20" s="664">
        <f>FGP!U21</f>
        <v>2.7059321154728599</v>
      </c>
      <c r="C20" s="690">
        <f t="shared" si="0"/>
        <v>675360.93169570598</v>
      </c>
      <c r="D20" s="690">
        <f t="shared" si="1"/>
        <v>1351141.0029526115</v>
      </c>
      <c r="E20" s="690">
        <f t="shared" si="2"/>
        <v>981202.72116740327</v>
      </c>
      <c r="F20" s="690">
        <f t="shared" si="3"/>
        <v>1730734.303223904</v>
      </c>
      <c r="G20" s="690">
        <f t="shared" si="4"/>
        <v>1364272.110040671</v>
      </c>
      <c r="H20" s="690">
        <f t="shared" si="5"/>
        <v>1576478.100361214</v>
      </c>
      <c r="I20" s="690">
        <f t="shared" si="6"/>
        <v>900900.39023738145</v>
      </c>
      <c r="J20" s="690">
        <f t="shared" si="7"/>
        <v>1258294.665416748</v>
      </c>
      <c r="K20" s="690">
        <f t="shared" si="8"/>
        <v>810768.0696500286</v>
      </c>
      <c r="L20" s="690">
        <f t="shared" si="9"/>
        <v>179163.69556829595</v>
      </c>
      <c r="M20" s="690">
        <f t="shared" si="10"/>
        <v>1004577.0475521935</v>
      </c>
      <c r="N20" s="690">
        <f t="shared" si="11"/>
        <v>717587.47645282734</v>
      </c>
      <c r="O20" s="693">
        <f t="shared" si="12"/>
        <v>12550480.514318984</v>
      </c>
    </row>
    <row r="21" spans="1:20" x14ac:dyDescent="0.2">
      <c r="A21" s="663" t="s">
        <v>288</v>
      </c>
      <c r="B21" s="664">
        <f>FGP!U22</f>
        <v>2.7608668836779993</v>
      </c>
      <c r="C21" s="690">
        <f t="shared" si="0"/>
        <v>689071.84337207931</v>
      </c>
      <c r="D21" s="690">
        <f t="shared" si="1"/>
        <v>1378571.3355116714</v>
      </c>
      <c r="E21" s="690">
        <f t="shared" si="2"/>
        <v>1001122.7124123292</v>
      </c>
      <c r="F21" s="690">
        <f t="shared" si="3"/>
        <v>1765870.9894802307</v>
      </c>
      <c r="G21" s="690">
        <f t="shared" si="4"/>
        <v>1391969.0251647681</v>
      </c>
      <c r="H21" s="690">
        <f t="shared" si="5"/>
        <v>1608483.1379335213</v>
      </c>
      <c r="I21" s="690">
        <f t="shared" si="6"/>
        <v>919190.11518303538</v>
      </c>
      <c r="J21" s="690">
        <f t="shared" si="7"/>
        <v>1283840.0681942869</v>
      </c>
      <c r="K21" s="690">
        <f t="shared" si="8"/>
        <v>827227.96371746319</v>
      </c>
      <c r="L21" s="690">
        <f t="shared" si="9"/>
        <v>182801.00636058848</v>
      </c>
      <c r="M21" s="690">
        <f t="shared" si="10"/>
        <v>1024971.5751665123</v>
      </c>
      <c r="N21" s="690">
        <f t="shared" si="11"/>
        <v>732155.65481193527</v>
      </c>
      <c r="O21" s="693">
        <f t="shared" si="12"/>
        <v>12805275.427308422</v>
      </c>
    </row>
    <row r="22" spans="1:20" x14ac:dyDescent="0.2">
      <c r="A22" s="663" t="s">
        <v>289</v>
      </c>
      <c r="B22" s="664">
        <f>FGP!U23</f>
        <v>6.3582422540279442</v>
      </c>
      <c r="C22" s="690">
        <f t="shared" si="0"/>
        <v>1586923.9246886743</v>
      </c>
      <c r="D22" s="690">
        <f t="shared" si="1"/>
        <v>3174832.7191947084</v>
      </c>
      <c r="E22" s="690">
        <f t="shared" si="2"/>
        <v>2305573.2129494199</v>
      </c>
      <c r="F22" s="690">
        <f t="shared" si="3"/>
        <v>4066779.0275776456</v>
      </c>
      <c r="G22" s="690">
        <f t="shared" si="4"/>
        <v>3205687.4326045732</v>
      </c>
      <c r="H22" s="690">
        <f t="shared" si="5"/>
        <v>3704316.7539015491</v>
      </c>
      <c r="I22" s="690">
        <f t="shared" si="6"/>
        <v>2116883.4558425695</v>
      </c>
      <c r="J22" s="690">
        <f t="shared" si="7"/>
        <v>2956667.7833204372</v>
      </c>
      <c r="K22" s="690">
        <f t="shared" si="8"/>
        <v>1905095.7594938185</v>
      </c>
      <c r="L22" s="690">
        <f t="shared" si="9"/>
        <v>420988.4546017407</v>
      </c>
      <c r="M22" s="690">
        <f t="shared" si="10"/>
        <v>2360496.8486272655</v>
      </c>
      <c r="N22" s="690">
        <f t="shared" si="11"/>
        <v>1686145.4090640917</v>
      </c>
      <c r="O22" s="693">
        <f t="shared" si="12"/>
        <v>29490390.781866495</v>
      </c>
    </row>
    <row r="23" spans="1:20" x14ac:dyDescent="0.2">
      <c r="A23" s="663" t="s">
        <v>163</v>
      </c>
      <c r="B23" s="664">
        <f>FGP!U24</f>
        <v>3.8167955341115505</v>
      </c>
      <c r="C23" s="690">
        <f t="shared" si="0"/>
        <v>952616.13300270541</v>
      </c>
      <c r="D23" s="690">
        <f t="shared" si="1"/>
        <v>1905823.4744825966</v>
      </c>
      <c r="E23" s="690">
        <f t="shared" si="2"/>
        <v>1384014.825351744</v>
      </c>
      <c r="F23" s="690">
        <f t="shared" si="3"/>
        <v>2441250.8065171079</v>
      </c>
      <c r="G23" s="690">
        <f t="shared" si="4"/>
        <v>1924345.2809259512</v>
      </c>
      <c r="H23" s="690">
        <f t="shared" si="5"/>
        <v>2223667.9695979212</v>
      </c>
      <c r="I23" s="690">
        <f t="shared" si="6"/>
        <v>1270746.0643507331</v>
      </c>
      <c r="J23" s="690">
        <f t="shared" si="7"/>
        <v>1774861.0292537848</v>
      </c>
      <c r="K23" s="690">
        <f t="shared" si="8"/>
        <v>1143611.8185469348</v>
      </c>
      <c r="L23" s="690">
        <f t="shared" si="9"/>
        <v>252715.57597833313</v>
      </c>
      <c r="M23" s="690">
        <f t="shared" si="10"/>
        <v>1416984.9889593935</v>
      </c>
      <c r="N23" s="690">
        <f t="shared" si="11"/>
        <v>1012177.8960374659</v>
      </c>
      <c r="O23" s="693">
        <f t="shared" si="12"/>
        <v>17702815.863004673</v>
      </c>
    </row>
    <row r="24" spans="1:20" x14ac:dyDescent="0.2">
      <c r="A24" s="663" t="s">
        <v>164</v>
      </c>
      <c r="B24" s="664">
        <f>FGP!U25</f>
        <v>22.390571163586038</v>
      </c>
      <c r="C24" s="690">
        <f t="shared" si="0"/>
        <v>5588357.8585621547</v>
      </c>
      <c r="D24" s="690">
        <f t="shared" si="1"/>
        <v>11180183.939449199</v>
      </c>
      <c r="E24" s="690">
        <f t="shared" si="2"/>
        <v>8119083.7081897091</v>
      </c>
      <c r="F24" s="690">
        <f t="shared" si="3"/>
        <v>14321175.819601968</v>
      </c>
      <c r="G24" s="690">
        <f t="shared" si="4"/>
        <v>11288838.914949382</v>
      </c>
      <c r="H24" s="690">
        <f t="shared" si="5"/>
        <v>13044763.721947381</v>
      </c>
      <c r="I24" s="690">
        <f t="shared" si="6"/>
        <v>7454612.1033740472</v>
      </c>
      <c r="J24" s="690">
        <f t="shared" si="7"/>
        <v>10411915.394947372</v>
      </c>
      <c r="K24" s="690">
        <f t="shared" si="8"/>
        <v>6708801.0289903097</v>
      </c>
      <c r="L24" s="690">
        <f t="shared" si="9"/>
        <v>1482512.2376922504</v>
      </c>
      <c r="M24" s="690">
        <f t="shared" si="10"/>
        <v>8312497.473201355</v>
      </c>
      <c r="N24" s="690">
        <f t="shared" si="11"/>
        <v>5937766.6445292244</v>
      </c>
      <c r="O24" s="693">
        <f t="shared" si="12"/>
        <v>103850508.84543435</v>
      </c>
      <c r="T24" s="667"/>
    </row>
    <row r="25" spans="1:20" x14ac:dyDescent="0.2">
      <c r="A25" s="663" t="s">
        <v>165</v>
      </c>
      <c r="B25" s="664">
        <f>FGP!U26</f>
        <v>3.6049459132695008</v>
      </c>
      <c r="C25" s="690">
        <f t="shared" si="0"/>
        <v>899741.57769026875</v>
      </c>
      <c r="D25" s="690">
        <f t="shared" si="1"/>
        <v>1800041.5490813979</v>
      </c>
      <c r="E25" s="690">
        <f t="shared" si="2"/>
        <v>1307195.6681896371</v>
      </c>
      <c r="F25" s="690">
        <f t="shared" si="3"/>
        <v>2305750.2136457153</v>
      </c>
      <c r="G25" s="690">
        <f t="shared" si="4"/>
        <v>1817535.3104965957</v>
      </c>
      <c r="H25" s="690">
        <f t="shared" si="5"/>
        <v>2100244.2200080482</v>
      </c>
      <c r="I25" s="690">
        <f t="shared" si="6"/>
        <v>1200213.841832323</v>
      </c>
      <c r="J25" s="690">
        <f t="shared" si="7"/>
        <v>1676348.118951329</v>
      </c>
      <c r="K25" s="690">
        <f t="shared" si="8"/>
        <v>1080136.1285382872</v>
      </c>
      <c r="L25" s="690">
        <f t="shared" si="9"/>
        <v>238688.70488361199</v>
      </c>
      <c r="M25" s="690">
        <f t="shared" si="10"/>
        <v>1338335.8368193121</v>
      </c>
      <c r="N25" s="690">
        <f t="shared" si="11"/>
        <v>955997.39027449349</v>
      </c>
      <c r="O25" s="693">
        <f t="shared" si="12"/>
        <v>16720228.560411021</v>
      </c>
      <c r="T25" s="667"/>
    </row>
    <row r="26" spans="1:20" ht="13.5" thickBot="1" x14ac:dyDescent="0.25">
      <c r="A26" s="663" t="s">
        <v>166</v>
      </c>
      <c r="B26" s="664">
        <f>FGP!U27</f>
        <v>5.1742707063312778</v>
      </c>
      <c r="C26" s="690">
        <f t="shared" si="0"/>
        <v>1291422.0076297177</v>
      </c>
      <c r="D26" s="690">
        <f t="shared" si="1"/>
        <v>2583645.4919635179</v>
      </c>
      <c r="E26" s="690">
        <f t="shared" si="2"/>
        <v>1876251.2437315255</v>
      </c>
      <c r="F26" s="690">
        <f t="shared" si="3"/>
        <v>3309502.0212837793</v>
      </c>
      <c r="G26" s="690">
        <f t="shared" si="4"/>
        <v>2608754.7333812658</v>
      </c>
      <c r="H26" s="690">
        <f t="shared" si="5"/>
        <v>3014534.0332923899</v>
      </c>
      <c r="I26" s="690">
        <f t="shared" si="6"/>
        <v>1722697.5029686231</v>
      </c>
      <c r="J26" s="690">
        <f t="shared" si="7"/>
        <v>2406105.1605727528</v>
      </c>
      <c r="K26" s="690">
        <f t="shared" si="8"/>
        <v>1550346.9020640242</v>
      </c>
      <c r="L26" s="690">
        <f t="shared" si="9"/>
        <v>342595.97878163646</v>
      </c>
      <c r="M26" s="690">
        <f t="shared" si="10"/>
        <v>1920947.5210702908</v>
      </c>
      <c r="N26" s="690">
        <f t="shared" si="11"/>
        <v>1372167.4085645739</v>
      </c>
      <c r="O26" s="693">
        <f t="shared" si="12"/>
        <v>23998970.005304098</v>
      </c>
      <c r="T26" s="667"/>
    </row>
    <row r="27" spans="1:20" ht="13.5" thickBot="1" x14ac:dyDescent="0.25">
      <c r="A27" s="668" t="s">
        <v>290</v>
      </c>
      <c r="B27" s="707">
        <f>SUM(B7:B26)</f>
        <v>100</v>
      </c>
      <c r="C27" s="698">
        <f>SUM(C7:C26)</f>
        <v>24958531.954068884</v>
      </c>
      <c r="D27" s="698">
        <f t="shared" ref="D27:N27" si="13">SUM(D7:D26)</f>
        <v>49932553.563580453</v>
      </c>
      <c r="E27" s="698">
        <f t="shared" si="13"/>
        <v>36261172.834187627</v>
      </c>
      <c r="F27" s="698">
        <f t="shared" si="13"/>
        <v>63960743.631643504</v>
      </c>
      <c r="G27" s="698">
        <f t="shared" si="13"/>
        <v>50417824.683760218</v>
      </c>
      <c r="H27" s="698">
        <f t="shared" si="13"/>
        <v>58260075.755290158</v>
      </c>
      <c r="I27" s="698">
        <f t="shared" si="13"/>
        <v>33293532.571860157</v>
      </c>
      <c r="J27" s="698">
        <f t="shared" si="13"/>
        <v>46501338.973792464</v>
      </c>
      <c r="K27" s="698">
        <f t="shared" si="13"/>
        <v>29962616.763885345</v>
      </c>
      <c r="L27" s="698">
        <f t="shared" si="13"/>
        <v>6621145.2439555069</v>
      </c>
      <c r="M27" s="698">
        <f t="shared" si="13"/>
        <v>37124990.749320567</v>
      </c>
      <c r="N27" s="698">
        <f t="shared" si="13"/>
        <v>26519049.474655032</v>
      </c>
      <c r="O27" s="698">
        <f>SUM(C27:N27)</f>
        <v>463813576.19999981</v>
      </c>
      <c r="T27" s="667"/>
    </row>
    <row r="28" spans="1:20" x14ac:dyDescent="0.2">
      <c r="A28" s="671"/>
      <c r="B28" s="671"/>
      <c r="C28" s="671"/>
      <c r="D28" s="671"/>
      <c r="E28" s="671"/>
      <c r="F28" s="671"/>
      <c r="G28" s="671"/>
      <c r="H28" s="671"/>
      <c r="I28" s="671"/>
      <c r="J28" s="671"/>
      <c r="K28" s="671"/>
      <c r="L28" s="671"/>
      <c r="M28" s="671"/>
      <c r="N28" s="671"/>
      <c r="O28" s="671"/>
      <c r="T28" s="667"/>
    </row>
    <row r="29" spans="1:20" ht="13.5" thickBot="1" x14ac:dyDescent="0.25">
      <c r="A29" s="672" t="s">
        <v>291</v>
      </c>
    </row>
    <row r="30" spans="1:20" ht="13.5" thickBot="1" x14ac:dyDescent="0.25">
      <c r="A30" s="708" t="s">
        <v>370</v>
      </c>
      <c r="B30" s="709"/>
      <c r="C30" s="698">
        <f>'X22.55 POE'!B13</f>
        <v>104478515.92906889</v>
      </c>
      <c r="D30" s="698">
        <f>'X22.55 POE'!C13</f>
        <v>143338657.78858048</v>
      </c>
      <c r="E30" s="698">
        <f>'X22.55 POE'!D13</f>
        <v>113872529.73418763</v>
      </c>
      <c r="F30" s="698">
        <f>'X22.55 POE'!E13</f>
        <v>149550686.70664352</v>
      </c>
      <c r="G30" s="698">
        <f>'X22.55 POE'!F13</f>
        <v>122898649.00876023</v>
      </c>
      <c r="H30" s="698">
        <f>'X22.55 POE'!G13</f>
        <v>127831702.73029017</v>
      </c>
      <c r="I30" s="698">
        <f>'X22.55 POE'!H13</f>
        <v>120020575.47186017</v>
      </c>
      <c r="J30" s="698">
        <f>'X22.55 POE'!I13</f>
        <v>121165451.92379247</v>
      </c>
      <c r="K30" s="698">
        <f>'X22.55 POE'!J13</f>
        <v>113174629.33888535</v>
      </c>
      <c r="L30" s="698">
        <f>'X22.55 POE'!K13</f>
        <v>102071512.61895551</v>
      </c>
      <c r="M30" s="698">
        <f>'X22.55 POE'!L13</f>
        <v>111765334.69932057</v>
      </c>
      <c r="N30" s="698">
        <f>'X22.55 POE'!M13</f>
        <v>110173346.34965503</v>
      </c>
      <c r="O30" s="710">
        <f>SUM(C30:N30)</f>
        <v>1440341592.3000002</v>
      </c>
    </row>
    <row r="31" spans="1:20" x14ac:dyDescent="0.2">
      <c r="A31" s="711" t="s">
        <v>371</v>
      </c>
      <c r="B31" s="712"/>
      <c r="C31" s="713">
        <f>'F.G.P. ESTIMACIONES 2014'!C27</f>
        <v>79519983.975000009</v>
      </c>
      <c r="D31" s="713">
        <f>'F.G.P. ESTIMACIONES 2014'!D27</f>
        <v>93406104.225000024</v>
      </c>
      <c r="E31" s="713">
        <f>'F.G.P. ESTIMACIONES 2014'!E27</f>
        <v>77611356.900000006</v>
      </c>
      <c r="F31" s="713">
        <f>'F.G.P. ESTIMACIONES 2014'!F27</f>
        <v>85589943.075000003</v>
      </c>
      <c r="G31" s="713">
        <f>'F.G.P. ESTIMACIONES 2014'!G27</f>
        <v>72480824.325000003</v>
      </c>
      <c r="H31" s="713">
        <f>'F.G.P. ESTIMACIONES 2014'!H27</f>
        <v>69571626.975000009</v>
      </c>
      <c r="I31" s="713">
        <f>'F.G.P. ESTIMACIONES 2014'!I27</f>
        <v>86727042.900000006</v>
      </c>
      <c r="J31" s="713">
        <f>'F.G.P. ESTIMACIONES 2014'!J27</f>
        <v>74664112.950000003</v>
      </c>
      <c r="K31" s="713">
        <f>'F.G.P. ESTIMACIONES 2014'!K27</f>
        <v>83212012.575000003</v>
      </c>
      <c r="L31" s="713">
        <f>'F.G.P. ESTIMACIONES 2014'!L27</f>
        <v>95450367.375</v>
      </c>
      <c r="M31" s="713">
        <f>'F.G.P. ESTIMACIONES 2014'!M27</f>
        <v>74640343.950000003</v>
      </c>
      <c r="N31" s="713">
        <f>'F.G.P. ESTIMACIONES 2014'!N27</f>
        <v>83654296.875</v>
      </c>
      <c r="O31" s="714">
        <f>SUM(C31:N31)</f>
        <v>976528016.10000026</v>
      </c>
    </row>
    <row r="32" spans="1:20" ht="13.5" thickBot="1" x14ac:dyDescent="0.25">
      <c r="A32" s="715" t="s">
        <v>356</v>
      </c>
      <c r="B32" s="716"/>
      <c r="C32" s="717">
        <f>C30-C31</f>
        <v>24958531.954068884</v>
      </c>
      <c r="D32" s="717">
        <f t="shared" ref="D32:N32" si="14">D30-D31</f>
        <v>49932553.563580453</v>
      </c>
      <c r="E32" s="717">
        <f t="shared" si="14"/>
        <v>36261172.834187627</v>
      </c>
      <c r="F32" s="717">
        <f t="shared" si="14"/>
        <v>63960743.631643519</v>
      </c>
      <c r="G32" s="717">
        <f t="shared" si="14"/>
        <v>50417824.683760226</v>
      </c>
      <c r="H32" s="717">
        <f t="shared" si="14"/>
        <v>58260075.755290166</v>
      </c>
      <c r="I32" s="717">
        <f t="shared" si="14"/>
        <v>33293532.571860164</v>
      </c>
      <c r="J32" s="717">
        <f t="shared" si="14"/>
        <v>46501338.973792464</v>
      </c>
      <c r="K32" s="717">
        <f t="shared" si="14"/>
        <v>29962616.763885349</v>
      </c>
      <c r="L32" s="717">
        <f t="shared" si="14"/>
        <v>6621145.2439555079</v>
      </c>
      <c r="M32" s="717">
        <f t="shared" si="14"/>
        <v>37124990.749320567</v>
      </c>
      <c r="N32" s="717">
        <f t="shared" si="14"/>
        <v>26519049.474655032</v>
      </c>
      <c r="O32" s="718">
        <f>O30-O31</f>
        <v>463813576.19999993</v>
      </c>
    </row>
  </sheetData>
  <mergeCells count="4">
    <mergeCell ref="A1:O1"/>
    <mergeCell ref="A2:O2"/>
    <mergeCell ref="A3:O3"/>
    <mergeCell ref="A4:O4"/>
  </mergeCells>
  <printOptions horizontalCentered="1"/>
  <pageMargins left="0.78740157480314965" right="0.78740157480314965" top="0.98425196850393704" bottom="0.98425196850393704" header="0" footer="0"/>
  <pageSetup paperSize="5" scale="95"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tabColor theme="9" tint="0.39997558519241921"/>
  </sheetPr>
  <dimension ref="A1:T29"/>
  <sheetViews>
    <sheetView workbookViewId="0">
      <selection activeCell="C32" sqref="C32:N32"/>
    </sheetView>
  </sheetViews>
  <sheetFormatPr baseColWidth="10" defaultRowHeight="12.75" x14ac:dyDescent="0.2"/>
  <cols>
    <col min="1" max="1" width="16.42578125" style="658" bestFit="1" customWidth="1"/>
    <col min="2" max="2" width="9.140625" style="658" bestFit="1" customWidth="1"/>
    <col min="3" max="3" width="10.85546875" style="658" bestFit="1" customWidth="1"/>
    <col min="4" max="4" width="11.7109375" style="658" bestFit="1" customWidth="1"/>
    <col min="5" max="10" width="10.85546875" style="658" bestFit="1" customWidth="1"/>
    <col min="11" max="11" width="11.5703125" style="658" customWidth="1"/>
    <col min="12" max="12" width="11.28515625" style="658" customWidth="1"/>
    <col min="13" max="14" width="10.85546875" style="658" bestFit="1" customWidth="1"/>
    <col min="15" max="15" width="11.7109375" style="658" bestFit="1" customWidth="1"/>
    <col min="16" max="19" width="11.42578125" style="658"/>
    <col min="20" max="20" width="11.7109375" style="658" bestFit="1" customWidth="1"/>
    <col min="21" max="16384" width="11.42578125" style="658"/>
  </cols>
  <sheetData>
    <row r="1" spans="1:15" ht="15.75" x14ac:dyDescent="0.25">
      <c r="A1" s="1019" t="s">
        <v>279</v>
      </c>
      <c r="B1" s="1019"/>
      <c r="C1" s="1019"/>
      <c r="D1" s="1019"/>
      <c r="E1" s="1019"/>
      <c r="F1" s="1019"/>
      <c r="G1" s="1019"/>
      <c r="H1" s="1019"/>
      <c r="I1" s="1019"/>
      <c r="J1" s="1019"/>
      <c r="K1" s="1019"/>
      <c r="L1" s="1019"/>
      <c r="M1" s="1019"/>
      <c r="N1" s="1019"/>
      <c r="O1" s="1019"/>
    </row>
    <row r="2" spans="1:15" x14ac:dyDescent="0.2">
      <c r="A2" s="1020" t="s">
        <v>280</v>
      </c>
      <c r="B2" s="1020"/>
      <c r="C2" s="1020"/>
      <c r="D2" s="1020"/>
      <c r="E2" s="1020"/>
      <c r="F2" s="1020"/>
      <c r="G2" s="1020"/>
      <c r="H2" s="1020"/>
      <c r="I2" s="1020"/>
      <c r="J2" s="1020"/>
      <c r="K2" s="1020"/>
      <c r="L2" s="1020"/>
      <c r="M2" s="1020"/>
      <c r="N2" s="1020"/>
      <c r="O2" s="1020"/>
    </row>
    <row r="3" spans="1:15" x14ac:dyDescent="0.2">
      <c r="A3" s="1020" t="s">
        <v>281</v>
      </c>
      <c r="B3" s="1020"/>
      <c r="C3" s="1020"/>
      <c r="D3" s="1020"/>
      <c r="E3" s="1020"/>
      <c r="F3" s="1020"/>
      <c r="G3" s="1020"/>
      <c r="H3" s="1020"/>
      <c r="I3" s="1020"/>
      <c r="J3" s="1020"/>
      <c r="K3" s="1020"/>
      <c r="L3" s="1020"/>
      <c r="M3" s="1020"/>
      <c r="N3" s="1020"/>
      <c r="O3" s="1020"/>
    </row>
    <row r="4" spans="1:15" x14ac:dyDescent="0.2">
      <c r="A4" s="1021" t="s">
        <v>372</v>
      </c>
      <c r="B4" s="1021"/>
      <c r="C4" s="1021"/>
      <c r="D4" s="1021"/>
      <c r="E4" s="1021"/>
      <c r="F4" s="1021"/>
      <c r="G4" s="1021"/>
      <c r="H4" s="1021"/>
      <c r="I4" s="1021"/>
      <c r="J4" s="1021"/>
      <c r="K4" s="1021"/>
      <c r="L4" s="1021"/>
      <c r="M4" s="1021"/>
      <c r="N4" s="1021"/>
      <c r="O4" s="1021"/>
    </row>
    <row r="5" spans="1:15" ht="13.5" thickBot="1" x14ac:dyDescent="0.25"/>
    <row r="6" spans="1:15" ht="23.25" thickBot="1" x14ac:dyDescent="0.25">
      <c r="A6" s="685" t="s">
        <v>357</v>
      </c>
      <c r="B6" s="686" t="s">
        <v>283</v>
      </c>
      <c r="C6" s="685" t="s">
        <v>1</v>
      </c>
      <c r="D6" s="687" t="s">
        <v>2</v>
      </c>
      <c r="E6" s="685" t="s">
        <v>3</v>
      </c>
      <c r="F6" s="687" t="s">
        <v>4</v>
      </c>
      <c r="G6" s="685" t="s">
        <v>5</v>
      </c>
      <c r="H6" s="685" t="s">
        <v>6</v>
      </c>
      <c r="I6" s="685" t="s">
        <v>7</v>
      </c>
      <c r="J6" s="687" t="s">
        <v>8</v>
      </c>
      <c r="K6" s="685" t="s">
        <v>9</v>
      </c>
      <c r="L6" s="687" t="s">
        <v>10</v>
      </c>
      <c r="M6" s="685" t="s">
        <v>11</v>
      </c>
      <c r="N6" s="685" t="s">
        <v>12</v>
      </c>
      <c r="O6" s="688" t="s">
        <v>169</v>
      </c>
    </row>
    <row r="7" spans="1:15" x14ac:dyDescent="0.2">
      <c r="A7" s="663" t="s">
        <v>284</v>
      </c>
      <c r="B7" s="683">
        <v>3.6200000000000003E-2</v>
      </c>
      <c r="C7" s="690">
        <v>2878623.4198950008</v>
      </c>
      <c r="D7" s="691">
        <v>3381300.9729450005</v>
      </c>
      <c r="E7" s="690">
        <v>2809531.1197800003</v>
      </c>
      <c r="F7" s="691">
        <v>3098355.9393150005</v>
      </c>
      <c r="G7" s="690">
        <v>2623805.8405650002</v>
      </c>
      <c r="H7" s="690">
        <v>2518492.8964950005</v>
      </c>
      <c r="I7" s="692">
        <v>3139518.9529800005</v>
      </c>
      <c r="J7" s="691">
        <v>2702840.8887900002</v>
      </c>
      <c r="K7" s="690">
        <v>3012274.8552150005</v>
      </c>
      <c r="L7" s="691">
        <v>3455303.2989750002</v>
      </c>
      <c r="M7" s="690">
        <v>2701980.4509900003</v>
      </c>
      <c r="N7" s="690">
        <v>3028285.5468750005</v>
      </c>
      <c r="O7" s="693">
        <f>SUM(C7:N7)</f>
        <v>35350314.182820007</v>
      </c>
    </row>
    <row r="8" spans="1:15" x14ac:dyDescent="0.2">
      <c r="A8" s="663" t="s">
        <v>148</v>
      </c>
      <c r="B8" s="683">
        <v>2.47E-2</v>
      </c>
      <c r="C8" s="690">
        <v>1964143.6041825002</v>
      </c>
      <c r="D8" s="691">
        <v>2307130.7743575</v>
      </c>
      <c r="E8" s="690">
        <v>1917000.5154300001</v>
      </c>
      <c r="F8" s="691">
        <v>2114071.5939525003</v>
      </c>
      <c r="G8" s="690">
        <v>1790276.3608275</v>
      </c>
      <c r="H8" s="690">
        <v>1718419.1862825002</v>
      </c>
      <c r="I8" s="690">
        <v>2142157.9596299999</v>
      </c>
      <c r="J8" s="691">
        <v>1844203.589865</v>
      </c>
      <c r="K8" s="690">
        <v>2055336.7106025</v>
      </c>
      <c r="L8" s="691">
        <v>2357624.0741625</v>
      </c>
      <c r="M8" s="690">
        <v>1843616.495565</v>
      </c>
      <c r="N8" s="690">
        <v>2066261.1328125</v>
      </c>
      <c r="O8" s="693">
        <f t="shared" ref="O8:O26" si="0">SUM(C8:N8)</f>
        <v>24120241.997669999</v>
      </c>
    </row>
    <row r="9" spans="1:15" x14ac:dyDescent="0.2">
      <c r="A9" s="663" t="s">
        <v>149</v>
      </c>
      <c r="B9" s="683">
        <v>2.3300000000000001E-2</v>
      </c>
      <c r="C9" s="690">
        <v>1852815.6266175003</v>
      </c>
      <c r="D9" s="691">
        <v>2176362.2284425003</v>
      </c>
      <c r="E9" s="690">
        <v>1808344.6157700003</v>
      </c>
      <c r="F9" s="691">
        <v>1994245.6736475001</v>
      </c>
      <c r="G9" s="690">
        <v>1688803.2067725002</v>
      </c>
      <c r="H9" s="690">
        <v>1621018.9085175004</v>
      </c>
      <c r="I9" s="690">
        <v>2020740.0995700003</v>
      </c>
      <c r="J9" s="691">
        <v>1739673.8317350002</v>
      </c>
      <c r="K9" s="690">
        <v>1938839.8929975003</v>
      </c>
      <c r="L9" s="691">
        <v>2223993.5598375001</v>
      </c>
      <c r="M9" s="690">
        <v>1739120.0140350002</v>
      </c>
      <c r="N9" s="690">
        <v>1949145.1171875</v>
      </c>
      <c r="O9" s="693">
        <f t="shared" si="0"/>
        <v>22753102.775130007</v>
      </c>
    </row>
    <row r="10" spans="1:15" x14ac:dyDescent="0.2">
      <c r="A10" s="663" t="s">
        <v>285</v>
      </c>
      <c r="B10" s="683">
        <v>2.81E-2</v>
      </c>
      <c r="C10" s="690">
        <v>2234511.5496975002</v>
      </c>
      <c r="D10" s="691">
        <v>2624711.5287225004</v>
      </c>
      <c r="E10" s="690">
        <v>2180879.1288900003</v>
      </c>
      <c r="F10" s="691">
        <v>2405077.4004075001</v>
      </c>
      <c r="G10" s="690">
        <v>2036711.1635325002</v>
      </c>
      <c r="H10" s="690">
        <v>1954962.7179975002</v>
      </c>
      <c r="I10" s="690">
        <v>2437029.9054900003</v>
      </c>
      <c r="J10" s="691">
        <v>2098061.5738949999</v>
      </c>
      <c r="K10" s="690">
        <v>2338257.5533575001</v>
      </c>
      <c r="L10" s="691">
        <v>2682155.3232375002</v>
      </c>
      <c r="M10" s="690">
        <v>2097393.6649950002</v>
      </c>
      <c r="N10" s="690">
        <v>2350685.7421875</v>
      </c>
      <c r="O10" s="693">
        <f t="shared" si="0"/>
        <v>27440437.252410006</v>
      </c>
    </row>
    <row r="11" spans="1:15" x14ac:dyDescent="0.2">
      <c r="A11" s="663" t="s">
        <v>151</v>
      </c>
      <c r="B11" s="683">
        <v>4.6399999999999997E-2</v>
      </c>
      <c r="C11" s="690">
        <v>3689727.2564400001</v>
      </c>
      <c r="D11" s="691">
        <v>4334043.2360399999</v>
      </c>
      <c r="E11" s="690">
        <v>3601166.9601600002</v>
      </c>
      <c r="F11" s="691">
        <v>3971373.3586800001</v>
      </c>
      <c r="G11" s="690">
        <v>3363110.2486799997</v>
      </c>
      <c r="H11" s="690">
        <v>3228123.4916400001</v>
      </c>
      <c r="I11" s="690">
        <v>4024134.7905600001</v>
      </c>
      <c r="J11" s="691">
        <v>3464414.84088</v>
      </c>
      <c r="K11" s="690">
        <v>3861037.3834799998</v>
      </c>
      <c r="L11" s="691">
        <v>4428897.0461999997</v>
      </c>
      <c r="M11" s="690">
        <v>3463311.9592800001</v>
      </c>
      <c r="N11" s="690">
        <v>3881559.3749999995</v>
      </c>
      <c r="O11" s="693">
        <f t="shared" si="0"/>
        <v>45310899.947040007</v>
      </c>
    </row>
    <row r="12" spans="1:15" x14ac:dyDescent="0.2">
      <c r="A12" s="663" t="s">
        <v>286</v>
      </c>
      <c r="B12" s="683">
        <v>1.4999999999999999E-2</v>
      </c>
      <c r="C12" s="690">
        <v>1192799.7596250002</v>
      </c>
      <c r="D12" s="691">
        <v>1401091.5633750001</v>
      </c>
      <c r="E12" s="690">
        <v>1164170.3535</v>
      </c>
      <c r="F12" s="691">
        <v>1283849.146125</v>
      </c>
      <c r="G12" s="690">
        <v>1087212.364875</v>
      </c>
      <c r="H12" s="690">
        <v>1043574.4046250001</v>
      </c>
      <c r="I12" s="690">
        <v>1300905.6435</v>
      </c>
      <c r="J12" s="691">
        <v>1119961.6942499999</v>
      </c>
      <c r="K12" s="690">
        <v>1248180.188625</v>
      </c>
      <c r="L12" s="691">
        <v>1431755.5106249999</v>
      </c>
      <c r="M12" s="690">
        <v>1119605.15925</v>
      </c>
      <c r="N12" s="690">
        <v>1254814.453125</v>
      </c>
      <c r="O12" s="693">
        <f t="shared" si="0"/>
        <v>14647920.241500001</v>
      </c>
    </row>
    <row r="13" spans="1:15" x14ac:dyDescent="0.2">
      <c r="A13" s="663" t="s">
        <v>153</v>
      </c>
      <c r="B13" s="683">
        <v>1.5299999999999999E-2</v>
      </c>
      <c r="C13" s="690">
        <v>1216655.7548175</v>
      </c>
      <c r="D13" s="691">
        <v>1429113.3946425</v>
      </c>
      <c r="E13" s="690">
        <v>1187453.7605699999</v>
      </c>
      <c r="F13" s="691">
        <v>1309526.1290475</v>
      </c>
      <c r="G13" s="690">
        <v>1108956.6121725</v>
      </c>
      <c r="H13" s="690">
        <v>1064445.8927175</v>
      </c>
      <c r="I13" s="690">
        <v>1326923.7563700001</v>
      </c>
      <c r="J13" s="691">
        <v>1142360.9281349999</v>
      </c>
      <c r="K13" s="690">
        <v>1273143.7923975</v>
      </c>
      <c r="L13" s="691">
        <v>1460390.6208374999</v>
      </c>
      <c r="M13" s="690">
        <v>1141997.2624349999</v>
      </c>
      <c r="N13" s="690">
        <v>1279910.7421875</v>
      </c>
      <c r="O13" s="693">
        <f t="shared" si="0"/>
        <v>14940878.646330001</v>
      </c>
    </row>
    <row r="14" spans="1:15" x14ac:dyDescent="0.2">
      <c r="A14" s="663" t="s">
        <v>154</v>
      </c>
      <c r="B14" s="683">
        <v>3.1600000000000003E-2</v>
      </c>
      <c r="C14" s="690">
        <v>2512831.4936100007</v>
      </c>
      <c r="D14" s="691">
        <v>2951632.8935100008</v>
      </c>
      <c r="E14" s="690">
        <v>2452518.8780400003</v>
      </c>
      <c r="F14" s="691">
        <v>2704642.2011700002</v>
      </c>
      <c r="G14" s="690">
        <v>2290394.0486700004</v>
      </c>
      <c r="H14" s="690">
        <v>2198463.4124100003</v>
      </c>
      <c r="I14" s="690">
        <v>2740574.5556400004</v>
      </c>
      <c r="J14" s="691">
        <v>2359385.9692200003</v>
      </c>
      <c r="K14" s="690">
        <v>2629499.5973700006</v>
      </c>
      <c r="L14" s="691">
        <v>3016231.6090500001</v>
      </c>
      <c r="M14" s="690">
        <v>2358634.8688200004</v>
      </c>
      <c r="N14" s="690">
        <v>2643475.7812500005</v>
      </c>
      <c r="O14" s="693">
        <f t="shared" si="0"/>
        <v>30858285.308760006</v>
      </c>
    </row>
    <row r="15" spans="1:15" x14ac:dyDescent="0.2">
      <c r="A15" s="663" t="s">
        <v>155</v>
      </c>
      <c r="B15" s="683">
        <v>2.81E-2</v>
      </c>
      <c r="C15" s="690">
        <v>2234511.5496975002</v>
      </c>
      <c r="D15" s="691">
        <v>2624711.5287225004</v>
      </c>
      <c r="E15" s="690">
        <v>2180879.1288900003</v>
      </c>
      <c r="F15" s="691">
        <v>2405077.4004075001</v>
      </c>
      <c r="G15" s="690">
        <v>2036711.1635325002</v>
      </c>
      <c r="H15" s="690">
        <v>1954962.7179975002</v>
      </c>
      <c r="I15" s="690">
        <v>2437029.9054900003</v>
      </c>
      <c r="J15" s="691">
        <v>2098061.5738949999</v>
      </c>
      <c r="K15" s="690">
        <v>2338257.5533575001</v>
      </c>
      <c r="L15" s="691">
        <v>2682155.3232375002</v>
      </c>
      <c r="M15" s="690">
        <v>2097393.6649950002</v>
      </c>
      <c r="N15" s="690">
        <v>2350685.7421875</v>
      </c>
      <c r="O15" s="693">
        <f t="shared" si="0"/>
        <v>27440437.252410006</v>
      </c>
    </row>
    <row r="16" spans="1:15" x14ac:dyDescent="0.2">
      <c r="A16" s="663" t="s">
        <v>156</v>
      </c>
      <c r="B16" s="683">
        <v>1.6E-2</v>
      </c>
      <c r="C16" s="690">
        <v>1272319.7436000002</v>
      </c>
      <c r="D16" s="691">
        <v>1494497.6676000003</v>
      </c>
      <c r="E16" s="690">
        <v>1241781.7104000002</v>
      </c>
      <c r="F16" s="691">
        <v>1369439.0892</v>
      </c>
      <c r="G16" s="690">
        <v>1159693.1892000001</v>
      </c>
      <c r="H16" s="690">
        <v>1113146.0316000001</v>
      </c>
      <c r="I16" s="690">
        <v>1387632.6864000002</v>
      </c>
      <c r="J16" s="691">
        <v>1194625.8072000002</v>
      </c>
      <c r="K16" s="690">
        <v>1331392.2012</v>
      </c>
      <c r="L16" s="691">
        <v>1527205.878</v>
      </c>
      <c r="M16" s="690">
        <v>1194245.5032000002</v>
      </c>
      <c r="N16" s="690">
        <v>1338468.75</v>
      </c>
      <c r="O16" s="693">
        <f t="shared" si="0"/>
        <v>15624448.257600002</v>
      </c>
    </row>
    <row r="17" spans="1:20" x14ac:dyDescent="0.2">
      <c r="A17" s="663" t="s">
        <v>157</v>
      </c>
      <c r="B17" s="683">
        <v>2.8400000000000002E-2</v>
      </c>
      <c r="C17" s="690">
        <v>2258367.5448900005</v>
      </c>
      <c r="D17" s="691">
        <v>2652733.3599900003</v>
      </c>
      <c r="E17" s="690">
        <v>2204162.5359600005</v>
      </c>
      <c r="F17" s="691">
        <v>2430754.3833300001</v>
      </c>
      <c r="G17" s="690">
        <v>2058455.4108300002</v>
      </c>
      <c r="H17" s="690">
        <v>1975834.2060900005</v>
      </c>
      <c r="I17" s="690">
        <v>2463048.0183600001</v>
      </c>
      <c r="J17" s="691">
        <v>2120460.8077800004</v>
      </c>
      <c r="K17" s="690">
        <v>2363221.1571300002</v>
      </c>
      <c r="L17" s="691">
        <v>2710790.4334500004</v>
      </c>
      <c r="M17" s="690">
        <v>2119785.7681800001</v>
      </c>
      <c r="N17" s="690">
        <v>2375782.03125</v>
      </c>
      <c r="O17" s="693">
        <f t="shared" si="0"/>
        <v>27733395.657240007</v>
      </c>
    </row>
    <row r="18" spans="1:20" x14ac:dyDescent="0.2">
      <c r="A18" s="663" t="s">
        <v>158</v>
      </c>
      <c r="B18" s="683">
        <v>3.3300000000000003E-2</v>
      </c>
      <c r="C18" s="690">
        <v>2648015.4663675004</v>
      </c>
      <c r="D18" s="691">
        <v>3110423.2706925008</v>
      </c>
      <c r="E18" s="690">
        <v>2584458.1847700006</v>
      </c>
      <c r="F18" s="691">
        <v>2850145.1043975004</v>
      </c>
      <c r="G18" s="690">
        <v>2413611.4500225005</v>
      </c>
      <c r="H18" s="690">
        <v>2316735.1782675004</v>
      </c>
      <c r="I18" s="690">
        <v>2888010.5285700005</v>
      </c>
      <c r="J18" s="691">
        <v>2486314.9612350003</v>
      </c>
      <c r="K18" s="690">
        <v>2770960.0187475001</v>
      </c>
      <c r="L18" s="691">
        <v>3178497.2335875002</v>
      </c>
      <c r="M18" s="690">
        <v>2485523.4535350003</v>
      </c>
      <c r="N18" s="690">
        <v>2785688.0859375005</v>
      </c>
      <c r="O18" s="693">
        <f t="shared" si="0"/>
        <v>32518382.936130006</v>
      </c>
    </row>
    <row r="19" spans="1:20" x14ac:dyDescent="0.2">
      <c r="A19" s="663" t="s">
        <v>159</v>
      </c>
      <c r="B19" s="683">
        <v>4.6899999999999997E-2</v>
      </c>
      <c r="C19" s="690">
        <v>3729487.2484275</v>
      </c>
      <c r="D19" s="691">
        <v>4380746.2881525001</v>
      </c>
      <c r="E19" s="690">
        <v>3639972.6386100003</v>
      </c>
      <c r="F19" s="691">
        <v>4014168.3302174998</v>
      </c>
      <c r="G19" s="690">
        <v>3399350.6608425002</v>
      </c>
      <c r="H19" s="690">
        <v>3262909.3051275001</v>
      </c>
      <c r="I19" s="690">
        <v>4067498.31201</v>
      </c>
      <c r="J19" s="691">
        <v>3501746.897355</v>
      </c>
      <c r="K19" s="690">
        <v>3902643.3897675001</v>
      </c>
      <c r="L19" s="691">
        <v>4476622.2298874995</v>
      </c>
      <c r="M19" s="690">
        <v>3500632.1312549999</v>
      </c>
      <c r="N19" s="690">
        <v>3923386.5234375</v>
      </c>
      <c r="O19" s="693">
        <f t="shared" si="0"/>
        <v>45799163.955090001</v>
      </c>
    </row>
    <row r="20" spans="1:20" x14ac:dyDescent="0.2">
      <c r="A20" s="663" t="s">
        <v>287</v>
      </c>
      <c r="B20" s="683">
        <v>2.1299999999999999E-2</v>
      </c>
      <c r="C20" s="690">
        <v>1693775.6586675001</v>
      </c>
      <c r="D20" s="691">
        <v>1989550.0199925001</v>
      </c>
      <c r="E20" s="690">
        <v>1653121.90197</v>
      </c>
      <c r="F20" s="691">
        <v>1823065.7874975</v>
      </c>
      <c r="G20" s="690">
        <v>1543841.5581225001</v>
      </c>
      <c r="H20" s="690">
        <v>1481875.6545675001</v>
      </c>
      <c r="I20" s="690">
        <v>1847286.0137700001</v>
      </c>
      <c r="J20" s="691">
        <v>1590345.6058350001</v>
      </c>
      <c r="K20" s="690">
        <v>1772415.8678475001</v>
      </c>
      <c r="L20" s="691">
        <v>2033092.8250875</v>
      </c>
      <c r="M20" s="690">
        <v>1589839.326135</v>
      </c>
      <c r="N20" s="690">
        <v>1781836.5234375</v>
      </c>
      <c r="O20" s="693">
        <f t="shared" si="0"/>
        <v>20800046.742929999</v>
      </c>
    </row>
    <row r="21" spans="1:20" x14ac:dyDescent="0.2">
      <c r="A21" s="663" t="s">
        <v>288</v>
      </c>
      <c r="B21" s="683">
        <v>2.81E-2</v>
      </c>
      <c r="C21" s="690">
        <v>2234511.5496975002</v>
      </c>
      <c r="D21" s="691">
        <v>2624711.5287225004</v>
      </c>
      <c r="E21" s="690">
        <v>2180879.1288900003</v>
      </c>
      <c r="F21" s="691">
        <v>2405077.4004075001</v>
      </c>
      <c r="G21" s="690">
        <v>2036711.1635325002</v>
      </c>
      <c r="H21" s="690">
        <v>1954962.7179975002</v>
      </c>
      <c r="I21" s="690">
        <v>2437029.9054900003</v>
      </c>
      <c r="J21" s="691">
        <v>2098061.5738949999</v>
      </c>
      <c r="K21" s="690">
        <v>2338257.5533575001</v>
      </c>
      <c r="L21" s="691">
        <v>2682155.3232375002</v>
      </c>
      <c r="M21" s="690">
        <v>2097393.6649950002</v>
      </c>
      <c r="N21" s="690">
        <v>2350685.7421875</v>
      </c>
      <c r="O21" s="693">
        <f t="shared" si="0"/>
        <v>27440437.252410006</v>
      </c>
    </row>
    <row r="22" spans="1:20" x14ac:dyDescent="0.2">
      <c r="A22" s="663" t="s">
        <v>289</v>
      </c>
      <c r="B22" s="683">
        <v>8.3400000000000002E-2</v>
      </c>
      <c r="C22" s="690">
        <v>6631966.6635150006</v>
      </c>
      <c r="D22" s="691">
        <v>7790069.0923650013</v>
      </c>
      <c r="E22" s="690">
        <v>6472787.1654600007</v>
      </c>
      <c r="F22" s="691">
        <v>7138201.2524550008</v>
      </c>
      <c r="G22" s="690">
        <v>6044900.7487050006</v>
      </c>
      <c r="H22" s="690">
        <v>5802273.6897150008</v>
      </c>
      <c r="I22" s="690">
        <v>7233035.3778600004</v>
      </c>
      <c r="J22" s="691">
        <v>6226987.0200300002</v>
      </c>
      <c r="K22" s="690">
        <v>6939881.8487550002</v>
      </c>
      <c r="L22" s="691">
        <v>7960560.6390749998</v>
      </c>
      <c r="M22" s="690">
        <v>6225004.6854300005</v>
      </c>
      <c r="N22" s="690">
        <v>6976768.359375</v>
      </c>
      <c r="O22" s="693">
        <f t="shared" si="0"/>
        <v>81442436.542740017</v>
      </c>
    </row>
    <row r="23" spans="1:20" x14ac:dyDescent="0.2">
      <c r="A23" s="663" t="s">
        <v>163</v>
      </c>
      <c r="B23" s="683">
        <v>3.5000000000000003E-2</v>
      </c>
      <c r="C23" s="690">
        <v>2783199.4391250005</v>
      </c>
      <c r="D23" s="691">
        <v>3269213.6478750007</v>
      </c>
      <c r="E23" s="690">
        <v>2716397.4915000005</v>
      </c>
      <c r="F23" s="691">
        <v>2995648.0076250006</v>
      </c>
      <c r="G23" s="690">
        <v>2536828.8513750006</v>
      </c>
      <c r="H23" s="690">
        <v>2435006.9441250004</v>
      </c>
      <c r="I23" s="690">
        <v>3035446.5015000007</v>
      </c>
      <c r="J23" s="691">
        <v>2613243.9532500003</v>
      </c>
      <c r="K23" s="690">
        <v>2912420.4401250002</v>
      </c>
      <c r="L23" s="691">
        <v>3340762.8581250003</v>
      </c>
      <c r="M23" s="690">
        <v>2612412.0382500002</v>
      </c>
      <c r="N23" s="690">
        <v>2927900.3906250005</v>
      </c>
      <c r="O23" s="693">
        <f t="shared" si="0"/>
        <v>34178480.563500009</v>
      </c>
    </row>
    <row r="24" spans="1:20" x14ac:dyDescent="0.2">
      <c r="A24" s="663" t="s">
        <v>164</v>
      </c>
      <c r="B24" s="683">
        <v>0.39</v>
      </c>
      <c r="C24" s="690">
        <v>31012793.750250004</v>
      </c>
      <c r="D24" s="691">
        <v>36428380.647750005</v>
      </c>
      <c r="E24" s="690">
        <v>30268429.191000003</v>
      </c>
      <c r="F24" s="691">
        <v>33380077.799250003</v>
      </c>
      <c r="G24" s="690">
        <v>28267521.486750003</v>
      </c>
      <c r="H24" s="690">
        <v>27132934.520250004</v>
      </c>
      <c r="I24" s="690">
        <v>33823546.731000006</v>
      </c>
      <c r="J24" s="691">
        <v>29119004.050500002</v>
      </c>
      <c r="K24" s="690">
        <v>32452684.904250003</v>
      </c>
      <c r="L24" s="691">
        <v>37225643.276250005</v>
      </c>
      <c r="M24" s="690">
        <v>29109734.140500002</v>
      </c>
      <c r="N24" s="690">
        <v>32625175.78125</v>
      </c>
      <c r="O24" s="693">
        <f t="shared" si="0"/>
        <v>380845926.27900004</v>
      </c>
      <c r="T24" s="667"/>
    </row>
    <row r="25" spans="1:20" x14ac:dyDescent="0.2">
      <c r="A25" s="663" t="s">
        <v>165</v>
      </c>
      <c r="B25" s="683">
        <v>3.7900000000000003E-2</v>
      </c>
      <c r="C25" s="690">
        <v>3013807.3926525004</v>
      </c>
      <c r="D25" s="691">
        <v>3540091.3501275005</v>
      </c>
      <c r="E25" s="690">
        <v>2941470.4265100006</v>
      </c>
      <c r="F25" s="691">
        <v>3243858.8425425002</v>
      </c>
      <c r="G25" s="690">
        <v>2747023.2419175003</v>
      </c>
      <c r="H25" s="690">
        <v>2636764.6623525005</v>
      </c>
      <c r="I25" s="690">
        <v>3286954.9259100007</v>
      </c>
      <c r="J25" s="691">
        <v>2829769.8808050002</v>
      </c>
      <c r="K25" s="690">
        <v>3153735.2765925005</v>
      </c>
      <c r="L25" s="691">
        <v>3617568.9235125002</v>
      </c>
      <c r="M25" s="690">
        <v>2828869.0357050002</v>
      </c>
      <c r="N25" s="690">
        <v>3170497.8515625005</v>
      </c>
      <c r="O25" s="693">
        <f t="shared" si="0"/>
        <v>37010411.810190007</v>
      </c>
      <c r="T25" s="667"/>
    </row>
    <row r="26" spans="1:20" ht="13.5" thickBot="1" x14ac:dyDescent="0.25">
      <c r="A26" s="663" t="s">
        <v>166</v>
      </c>
      <c r="B26" s="683">
        <v>3.1E-2</v>
      </c>
      <c r="C26" s="690">
        <v>2465119.5032250001</v>
      </c>
      <c r="D26" s="691">
        <v>2895589.2309750002</v>
      </c>
      <c r="E26" s="690">
        <v>2405952.0639</v>
      </c>
      <c r="F26" s="691">
        <v>2653288.2353250002</v>
      </c>
      <c r="G26" s="690">
        <v>2246905.5540749999</v>
      </c>
      <c r="H26" s="690">
        <v>2156720.4362250003</v>
      </c>
      <c r="I26" s="696">
        <v>2688538.3299000002</v>
      </c>
      <c r="J26" s="691">
        <v>2314587.5014499999</v>
      </c>
      <c r="K26" s="690">
        <v>2579572.389825</v>
      </c>
      <c r="L26" s="691">
        <v>2958961.3886250001</v>
      </c>
      <c r="M26" s="690">
        <v>2313850.6624500002</v>
      </c>
      <c r="N26" s="690">
        <v>2593283.203125</v>
      </c>
      <c r="O26" s="693">
        <f t="shared" si="0"/>
        <v>30272368.4991</v>
      </c>
      <c r="T26" s="667"/>
    </row>
    <row r="27" spans="1:20" ht="13.5" thickBot="1" x14ac:dyDescent="0.25">
      <c r="A27" s="668" t="s">
        <v>290</v>
      </c>
      <c r="B27" s="684">
        <f>SUM(B7:B26)</f>
        <v>1</v>
      </c>
      <c r="C27" s="698">
        <f>SUM(C7:C26)</f>
        <v>79519983.975000009</v>
      </c>
      <c r="D27" s="698">
        <f t="shared" ref="D27:N27" si="1">SUM(D7:D26)</f>
        <v>93406104.225000024</v>
      </c>
      <c r="E27" s="698">
        <f t="shared" si="1"/>
        <v>77611356.900000006</v>
      </c>
      <c r="F27" s="698">
        <f t="shared" si="1"/>
        <v>85589943.075000003</v>
      </c>
      <c r="G27" s="698">
        <f t="shared" si="1"/>
        <v>72480824.325000003</v>
      </c>
      <c r="H27" s="698">
        <f t="shared" si="1"/>
        <v>69571626.975000009</v>
      </c>
      <c r="I27" s="698">
        <f t="shared" si="1"/>
        <v>86727042.900000006</v>
      </c>
      <c r="J27" s="698">
        <f t="shared" si="1"/>
        <v>74664112.950000003</v>
      </c>
      <c r="K27" s="698">
        <f t="shared" si="1"/>
        <v>83212012.575000003</v>
      </c>
      <c r="L27" s="698">
        <f t="shared" si="1"/>
        <v>95450367.375</v>
      </c>
      <c r="M27" s="698">
        <f t="shared" si="1"/>
        <v>74640343.950000003</v>
      </c>
      <c r="N27" s="698">
        <f t="shared" si="1"/>
        <v>83654296.875</v>
      </c>
      <c r="O27" s="698">
        <f>SUM(C27:N27)</f>
        <v>976528016.10000026</v>
      </c>
      <c r="T27" s="667"/>
    </row>
    <row r="28" spans="1:20" x14ac:dyDescent="0.2">
      <c r="A28" s="671"/>
      <c r="B28" s="671"/>
      <c r="C28" s="671"/>
      <c r="D28" s="671"/>
      <c r="E28" s="671"/>
      <c r="F28" s="671"/>
      <c r="G28" s="671"/>
      <c r="H28" s="671"/>
      <c r="I28" s="671"/>
      <c r="J28" s="671"/>
      <c r="K28" s="671"/>
      <c r="L28" s="671"/>
      <c r="M28" s="671"/>
      <c r="N28" s="671"/>
      <c r="O28" s="671"/>
      <c r="T28" s="667"/>
    </row>
    <row r="29" spans="1:20" x14ac:dyDescent="0.2">
      <c r="A29" s="672" t="s">
        <v>291</v>
      </c>
    </row>
  </sheetData>
  <mergeCells count="4">
    <mergeCell ref="A1:O1"/>
    <mergeCell ref="A2:O2"/>
    <mergeCell ref="A3:O3"/>
    <mergeCell ref="A4:O4"/>
  </mergeCells>
  <printOptions horizontalCentered="1"/>
  <pageMargins left="0.78740157480314965" right="0.78740157480314965" top="0.98425196850393704" bottom="0.98425196850393704" header="0" footer="0"/>
  <pageSetup paperSize="5" scale="95"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pageSetUpPr fitToPage="1"/>
  </sheetPr>
  <dimension ref="B2:U100"/>
  <sheetViews>
    <sheetView topLeftCell="A3" zoomScale="110" zoomScaleNormal="110" workbookViewId="0">
      <selection activeCell="I12" sqref="I12:K12"/>
    </sheetView>
  </sheetViews>
  <sheetFormatPr baseColWidth="10" defaultRowHeight="15" x14ac:dyDescent="0.25"/>
  <cols>
    <col min="1" max="1" width="12.140625" customWidth="1"/>
    <col min="2" max="2" width="7.140625" style="220" customWidth="1"/>
    <col min="3" max="3" width="12.140625" customWidth="1"/>
    <col min="4" max="4" width="16.42578125" customWidth="1"/>
    <col min="5" max="5" width="12.28515625" customWidth="1"/>
    <col min="6" max="6" width="16" customWidth="1"/>
    <col min="7" max="7" width="13.28515625" customWidth="1"/>
    <col min="8" max="8" width="14.42578125" customWidth="1"/>
    <col min="9" max="9" width="20.85546875" style="10" customWidth="1"/>
    <col min="10" max="10" width="13.42578125" style="10" customWidth="1"/>
    <col min="11" max="12" width="17.85546875" customWidth="1"/>
    <col min="13" max="13" width="15.7109375" customWidth="1"/>
    <col min="14" max="14" width="12.85546875" customWidth="1"/>
    <col min="15" max="15" width="17.140625" customWidth="1"/>
    <col min="16" max="16" width="12.85546875" bestFit="1" customWidth="1"/>
    <col min="19" max="19" width="12.85546875" bestFit="1" customWidth="1"/>
  </cols>
  <sheetData>
    <row r="2" spans="2:16" x14ac:dyDescent="0.25">
      <c r="C2" s="9"/>
      <c r="D2" s="9"/>
      <c r="E2" s="9"/>
      <c r="F2" s="9"/>
      <c r="G2" s="9"/>
      <c r="H2" s="9"/>
      <c r="K2" s="218" t="s">
        <v>175</v>
      </c>
    </row>
    <row r="3" spans="2:16" x14ac:dyDescent="0.25">
      <c r="C3" s="9"/>
      <c r="D3" s="9"/>
      <c r="E3" s="9"/>
      <c r="F3" s="9"/>
      <c r="G3" s="9"/>
      <c r="H3" s="9"/>
      <c r="I3" s="77"/>
      <c r="J3" s="77"/>
    </row>
    <row r="4" spans="2:16" ht="15.75" thickBot="1" x14ac:dyDescent="0.3">
      <c r="C4" s="921" t="s">
        <v>176</v>
      </c>
      <c r="D4" s="921"/>
      <c r="E4" s="921"/>
      <c r="F4" s="921"/>
      <c r="G4" s="921"/>
      <c r="H4" s="921"/>
      <c r="I4" s="921"/>
      <c r="J4" s="921"/>
      <c r="K4" s="921"/>
    </row>
    <row r="5" spans="2:16" x14ac:dyDescent="0.25">
      <c r="B5" s="1070" t="s">
        <v>373</v>
      </c>
      <c r="C5" s="1071"/>
      <c r="D5" s="1071"/>
      <c r="E5" s="1071"/>
      <c r="F5" s="1071"/>
      <c r="G5" s="1071"/>
      <c r="H5" s="1071"/>
      <c r="I5" s="1071"/>
      <c r="J5" s="1071"/>
      <c r="K5" s="1072"/>
    </row>
    <row r="6" spans="2:16" ht="15.75" thickBot="1" x14ac:dyDescent="0.3">
      <c r="B6" s="1073" t="s">
        <v>177</v>
      </c>
      <c r="C6" s="1074"/>
      <c r="D6" s="1074"/>
      <c r="E6" s="1074"/>
      <c r="F6" s="1074"/>
      <c r="G6" s="1074"/>
      <c r="H6" s="1075"/>
      <c r="I6" s="221"/>
      <c r="J6" s="222"/>
      <c r="K6" s="223" t="s">
        <v>20</v>
      </c>
    </row>
    <row r="7" spans="2:16" x14ac:dyDescent="0.25">
      <c r="B7" s="224"/>
      <c r="C7" s="150"/>
      <c r="D7" s="225"/>
      <c r="E7" s="225"/>
      <c r="F7" s="226"/>
      <c r="G7" s="227"/>
      <c r="H7" s="228"/>
      <c r="I7" s="229"/>
      <c r="J7" s="230"/>
      <c r="K7" s="228"/>
    </row>
    <row r="8" spans="2:16" x14ac:dyDescent="0.25">
      <c r="B8" s="231"/>
      <c r="C8" s="1076" t="s">
        <v>178</v>
      </c>
      <c r="D8" s="1028"/>
      <c r="E8" s="1028"/>
      <c r="F8" s="1028"/>
      <c r="G8" s="1028"/>
      <c r="H8" s="1077"/>
      <c r="I8" s="232"/>
      <c r="J8" s="233"/>
      <c r="K8" s="234"/>
      <c r="L8" s="5"/>
    </row>
    <row r="9" spans="2:16" x14ac:dyDescent="0.25">
      <c r="B9" s="231">
        <v>1</v>
      </c>
      <c r="C9" s="1054" t="s">
        <v>374</v>
      </c>
      <c r="D9" s="1030"/>
      <c r="E9" s="1030"/>
      <c r="F9" s="1030"/>
      <c r="G9" s="1030"/>
      <c r="H9" s="1055"/>
      <c r="I9" s="232"/>
      <c r="J9" s="233"/>
      <c r="K9" s="262">
        <v>6401518188</v>
      </c>
      <c r="L9" s="236"/>
      <c r="M9" s="237"/>
      <c r="N9" s="237"/>
      <c r="O9" s="237"/>
      <c r="P9" s="237"/>
    </row>
    <row r="10" spans="2:16" x14ac:dyDescent="0.25">
      <c r="B10" s="231">
        <v>2</v>
      </c>
      <c r="C10" s="1054" t="s">
        <v>179</v>
      </c>
      <c r="D10" s="1030"/>
      <c r="E10" s="1030"/>
      <c r="F10" s="1030"/>
      <c r="G10" s="1030"/>
      <c r="H10" s="1055"/>
      <c r="I10" s="1062">
        <v>4340124516</v>
      </c>
      <c r="J10" s="1052"/>
      <c r="K10" s="1053"/>
      <c r="L10" s="5"/>
    </row>
    <row r="11" spans="2:16" x14ac:dyDescent="0.25">
      <c r="B11" s="231">
        <v>3</v>
      </c>
      <c r="C11" s="238" t="s">
        <v>180</v>
      </c>
      <c r="D11" s="236"/>
      <c r="E11" s="236"/>
      <c r="F11" s="236"/>
      <c r="G11" s="236"/>
      <c r="H11" s="239"/>
      <c r="I11" s="240"/>
      <c r="J11" s="241"/>
      <c r="K11" s="235">
        <f>K9-I10</f>
        <v>2061393672</v>
      </c>
      <c r="L11" s="5"/>
    </row>
    <row r="12" spans="2:16" x14ac:dyDescent="0.25">
      <c r="B12" s="231">
        <v>3</v>
      </c>
      <c r="C12" s="1054" t="s">
        <v>181</v>
      </c>
      <c r="D12" s="1030"/>
      <c r="E12" s="1030"/>
      <c r="F12" s="1030"/>
      <c r="G12" s="1030"/>
      <c r="H12" s="1055"/>
      <c r="I12" s="1062">
        <f>K11*22.5%</f>
        <v>463813576.19999999</v>
      </c>
      <c r="J12" s="1052"/>
      <c r="K12" s="1053"/>
      <c r="L12" s="5"/>
    </row>
    <row r="13" spans="2:16" x14ac:dyDescent="0.25">
      <c r="B13" s="231">
        <v>4</v>
      </c>
      <c r="C13" s="1054" t="s">
        <v>182</v>
      </c>
      <c r="D13" s="1030"/>
      <c r="E13" s="1030"/>
      <c r="F13" s="1030"/>
      <c r="G13" s="1030"/>
      <c r="H13" s="1055"/>
      <c r="I13" s="1062">
        <f>I10*22.5%</f>
        <v>976528016.10000002</v>
      </c>
      <c r="J13" s="1052"/>
      <c r="K13" s="1053"/>
      <c r="L13" s="5"/>
    </row>
    <row r="14" spans="2:16" x14ac:dyDescent="0.25">
      <c r="B14" s="231">
        <v>5</v>
      </c>
      <c r="C14" s="1054" t="s">
        <v>375</v>
      </c>
      <c r="D14" s="1030"/>
      <c r="E14" s="1030"/>
      <c r="F14" s="1030"/>
      <c r="G14" s="1030"/>
      <c r="H14" s="1055"/>
      <c r="I14" s="1063"/>
      <c r="J14" s="1044"/>
      <c r="K14" s="1045"/>
      <c r="L14" s="5"/>
    </row>
    <row r="15" spans="2:16" x14ac:dyDescent="0.25">
      <c r="B15" s="231"/>
      <c r="C15" s="1054" t="s">
        <v>376</v>
      </c>
      <c r="D15" s="1030"/>
      <c r="E15" s="1030"/>
      <c r="F15" s="1030"/>
      <c r="G15" s="1030"/>
      <c r="H15" s="1055"/>
      <c r="I15" s="1062">
        <f>I12*60%</f>
        <v>278288145.71999997</v>
      </c>
      <c r="J15" s="1052"/>
      <c r="K15" s="1053"/>
      <c r="L15" s="5"/>
    </row>
    <row r="16" spans="2:16" ht="15.75" thickBot="1" x14ac:dyDescent="0.3">
      <c r="B16" s="231"/>
      <c r="C16" s="1054" t="s">
        <v>377</v>
      </c>
      <c r="D16" s="1030"/>
      <c r="E16" s="1030"/>
      <c r="F16" s="1030"/>
      <c r="G16" s="1030"/>
      <c r="H16" s="1055"/>
      <c r="I16" s="1062">
        <f>I12*30%</f>
        <v>139144072.85999998</v>
      </c>
      <c r="J16" s="1052"/>
      <c r="K16" s="1053"/>
      <c r="L16" s="5"/>
    </row>
    <row r="17" spans="2:12" ht="15.75" thickBot="1" x14ac:dyDescent="0.3">
      <c r="B17" s="231"/>
      <c r="C17" s="1064" t="s">
        <v>378</v>
      </c>
      <c r="D17" s="1065"/>
      <c r="E17" s="1065"/>
      <c r="F17" s="1065"/>
      <c r="G17" s="1065"/>
      <c r="H17" s="1066"/>
      <c r="I17" s="1067">
        <f>I12*10%</f>
        <v>46381357.620000005</v>
      </c>
      <c r="J17" s="1068"/>
      <c r="K17" s="1069"/>
      <c r="L17" s="5"/>
    </row>
    <row r="18" spans="2:12" ht="15.75" thickBot="1" x14ac:dyDescent="0.3">
      <c r="B18" s="231"/>
      <c r="C18" s="1054" t="s">
        <v>183</v>
      </c>
      <c r="D18" s="1030"/>
      <c r="E18" s="1030"/>
      <c r="F18" s="1030"/>
      <c r="G18" s="1030"/>
      <c r="H18" s="1055"/>
      <c r="I18" s="242">
        <f>SUM(I15:I17)</f>
        <v>463813576.19999993</v>
      </c>
      <c r="J18" s="243"/>
      <c r="K18" s="235">
        <f>SUM(I18)</f>
        <v>463813576.19999993</v>
      </c>
      <c r="L18" s="130"/>
    </row>
    <row r="19" spans="2:12" ht="15.75" thickBot="1" x14ac:dyDescent="0.3">
      <c r="B19" s="244">
        <v>6</v>
      </c>
      <c r="C19" s="1056" t="s">
        <v>379</v>
      </c>
      <c r="D19" s="1057"/>
      <c r="E19" s="1057"/>
      <c r="F19" s="1057"/>
      <c r="G19" s="1057"/>
      <c r="H19" s="1058"/>
      <c r="I19" s="1059">
        <f>I12+I13</f>
        <v>1440341592.3</v>
      </c>
      <c r="J19" s="1060"/>
      <c r="K19" s="1061"/>
      <c r="L19" s="5"/>
    </row>
    <row r="20" spans="2:12" x14ac:dyDescent="0.25">
      <c r="B20" s="619"/>
      <c r="C20" s="1046"/>
      <c r="D20" s="1046"/>
      <c r="E20" s="1046"/>
      <c r="F20" s="1046"/>
      <c r="G20" s="1046"/>
      <c r="H20" s="1046"/>
      <c r="I20" s="1047"/>
      <c r="J20" s="1048"/>
      <c r="K20" s="1049"/>
      <c r="L20" s="5"/>
    </row>
    <row r="21" spans="2:12" x14ac:dyDescent="0.25">
      <c r="B21" s="620"/>
      <c r="C21" s="1028" t="s">
        <v>184</v>
      </c>
      <c r="D21" s="1028"/>
      <c r="E21" s="1028"/>
      <c r="F21" s="1028"/>
      <c r="G21" s="1028"/>
      <c r="H21" s="1028"/>
      <c r="I21" s="1051"/>
      <c r="J21" s="1052"/>
      <c r="K21" s="1053"/>
      <c r="L21" s="5"/>
    </row>
    <row r="22" spans="2:12" x14ac:dyDescent="0.25">
      <c r="B22" s="620">
        <v>7</v>
      </c>
      <c r="C22" s="1030" t="s">
        <v>380</v>
      </c>
      <c r="D22" s="1030"/>
      <c r="E22" s="1030"/>
      <c r="F22" s="1030"/>
      <c r="G22" s="1030"/>
      <c r="H22" s="1030"/>
      <c r="I22" s="571"/>
      <c r="J22" s="572"/>
      <c r="K22" s="574">
        <v>523578510</v>
      </c>
      <c r="L22" s="5"/>
    </row>
    <row r="23" spans="2:12" x14ac:dyDescent="0.25">
      <c r="B23" s="620">
        <v>8</v>
      </c>
      <c r="C23" s="1030" t="s">
        <v>185</v>
      </c>
      <c r="D23" s="1030"/>
      <c r="E23" s="1030"/>
      <c r="F23" s="1030"/>
      <c r="G23" s="1030"/>
      <c r="H23" s="1030"/>
      <c r="I23" s="571"/>
      <c r="J23" s="572"/>
      <c r="K23" s="574">
        <v>432473544</v>
      </c>
      <c r="L23" s="5"/>
    </row>
    <row r="24" spans="2:12" x14ac:dyDescent="0.25">
      <c r="B24" s="620">
        <v>9</v>
      </c>
      <c r="C24" s="570" t="s">
        <v>381</v>
      </c>
      <c r="D24" s="570"/>
      <c r="E24" s="570"/>
      <c r="F24" s="570"/>
      <c r="G24" s="570"/>
      <c r="H24" s="570"/>
      <c r="I24" s="571"/>
      <c r="J24" s="572"/>
      <c r="K24" s="574">
        <f>K22-K23</f>
        <v>91104966</v>
      </c>
      <c r="L24" s="5"/>
    </row>
    <row r="25" spans="2:12" x14ac:dyDescent="0.25">
      <c r="B25" s="620">
        <v>10</v>
      </c>
      <c r="C25" s="1030" t="s">
        <v>186</v>
      </c>
      <c r="D25" s="1030"/>
      <c r="E25" s="1030"/>
      <c r="F25" s="1030"/>
      <c r="G25" s="1030"/>
      <c r="H25" s="1030"/>
      <c r="I25" s="571"/>
      <c r="J25" s="572"/>
      <c r="K25" s="574">
        <f>K24</f>
        <v>91104966</v>
      </c>
      <c r="L25" s="5"/>
    </row>
    <row r="26" spans="2:12" x14ac:dyDescent="0.25">
      <c r="B26" s="620"/>
      <c r="C26" s="1041" t="s">
        <v>382</v>
      </c>
      <c r="D26" s="1030"/>
      <c r="E26" s="1030"/>
      <c r="F26" s="1030"/>
      <c r="G26" s="1030"/>
      <c r="H26" s="1042"/>
      <c r="I26" s="616"/>
      <c r="J26" s="617"/>
      <c r="K26" s="574">
        <f>K25*70%</f>
        <v>63773476.199999996</v>
      </c>
      <c r="L26" s="5"/>
    </row>
    <row r="27" spans="2:12" x14ac:dyDescent="0.25">
      <c r="B27" s="620"/>
      <c r="C27" s="618">
        <v>0.5</v>
      </c>
      <c r="D27" s="570"/>
      <c r="E27" s="570"/>
      <c r="F27" s="570"/>
      <c r="G27" s="570"/>
      <c r="H27" s="573"/>
      <c r="I27" s="616"/>
      <c r="J27" s="617"/>
      <c r="K27" s="574">
        <f>K26*C27</f>
        <v>31886738.099999998</v>
      </c>
      <c r="L27" s="5"/>
    </row>
    <row r="28" spans="2:12" x14ac:dyDescent="0.25">
      <c r="B28" s="620"/>
      <c r="C28" s="618">
        <v>0.5</v>
      </c>
      <c r="D28" s="570"/>
      <c r="E28" s="570"/>
      <c r="F28" s="570"/>
      <c r="G28" s="570"/>
      <c r="H28" s="573"/>
      <c r="I28" s="616"/>
      <c r="J28" s="617"/>
      <c r="K28" s="574">
        <f>K26*C28</f>
        <v>31886738.099999998</v>
      </c>
      <c r="L28" s="5"/>
    </row>
    <row r="29" spans="2:12" x14ac:dyDescent="0.25">
      <c r="B29" s="620"/>
      <c r="C29" s="1041" t="s">
        <v>383</v>
      </c>
      <c r="D29" s="1030"/>
      <c r="E29" s="1030"/>
      <c r="F29" s="1030"/>
      <c r="G29" s="1030"/>
      <c r="H29" s="1042"/>
      <c r="I29" s="616"/>
      <c r="J29" s="617"/>
      <c r="K29" s="574">
        <f>K25*30%</f>
        <v>27331489.800000001</v>
      </c>
      <c r="L29" s="5"/>
    </row>
    <row r="30" spans="2:12" ht="15.75" thickBot="1" x14ac:dyDescent="0.3">
      <c r="B30" s="620"/>
      <c r="C30" s="1039" t="s">
        <v>332</v>
      </c>
      <c r="D30" s="1039"/>
      <c r="E30" s="1039"/>
      <c r="F30" s="1039"/>
      <c r="G30" s="1039"/>
      <c r="H30" s="1039"/>
      <c r="I30" s="621"/>
      <c r="J30" s="622"/>
      <c r="K30" s="623">
        <f>K26+K29</f>
        <v>91104966</v>
      </c>
      <c r="L30" s="5"/>
    </row>
    <row r="31" spans="2:12" ht="15.75" thickBot="1" x14ac:dyDescent="0.3">
      <c r="B31" s="624">
        <v>8</v>
      </c>
      <c r="C31" s="1050" t="s">
        <v>384</v>
      </c>
      <c r="D31" s="1050"/>
      <c r="E31" s="1050"/>
      <c r="F31" s="1050"/>
      <c r="G31" s="1050"/>
      <c r="H31" s="1050"/>
      <c r="I31" s="625"/>
      <c r="J31" s="626"/>
      <c r="K31" s="627">
        <f>K23+K24</f>
        <v>523578510</v>
      </c>
      <c r="L31" s="5"/>
    </row>
    <row r="32" spans="2:12" x14ac:dyDescent="0.25">
      <c r="B32" s="619"/>
      <c r="C32" s="628"/>
      <c r="D32" s="629"/>
      <c r="E32" s="629"/>
      <c r="F32" s="629"/>
      <c r="G32" s="629"/>
      <c r="H32" s="630"/>
      <c r="I32" s="631"/>
      <c r="J32" s="632"/>
      <c r="K32" s="633"/>
      <c r="L32" s="5"/>
    </row>
    <row r="33" spans="2:15" x14ac:dyDescent="0.25">
      <c r="B33" s="620"/>
      <c r="C33" s="1027" t="s">
        <v>187</v>
      </c>
      <c r="D33" s="1028"/>
      <c r="E33" s="1028"/>
      <c r="F33" s="1028"/>
      <c r="G33" s="1028"/>
      <c r="H33" s="1029"/>
      <c r="I33" s="571"/>
      <c r="J33" s="572"/>
      <c r="K33" s="634">
        <v>335107516</v>
      </c>
      <c r="L33" s="5"/>
    </row>
    <row r="34" spans="2:15" x14ac:dyDescent="0.25">
      <c r="B34" s="620">
        <v>9</v>
      </c>
      <c r="C34" s="1030" t="s">
        <v>385</v>
      </c>
      <c r="D34" s="1030"/>
      <c r="E34" s="1030"/>
      <c r="F34" s="1030"/>
      <c r="G34" s="1030"/>
      <c r="H34" s="1030"/>
      <c r="I34" s="571"/>
      <c r="J34" s="572"/>
      <c r="K34" s="574">
        <f>K33*22.5%</f>
        <v>75399191.100000009</v>
      </c>
      <c r="L34" s="130">
        <f>K34*22.5%</f>
        <v>16964817.997500002</v>
      </c>
    </row>
    <row r="35" spans="2:15" ht="15.75" thickBot="1" x14ac:dyDescent="0.3">
      <c r="B35" s="620">
        <v>10</v>
      </c>
      <c r="C35" s="1030" t="s">
        <v>188</v>
      </c>
      <c r="D35" s="1030"/>
      <c r="E35" s="1030"/>
      <c r="F35" s="1030"/>
      <c r="G35" s="1030"/>
      <c r="H35" s="1030"/>
      <c r="I35" s="571"/>
      <c r="J35" s="572"/>
      <c r="K35" s="574">
        <v>44079525</v>
      </c>
      <c r="L35" s="130">
        <f>K35*0.225</f>
        <v>9917893.125</v>
      </c>
      <c r="N35" s="568"/>
    </row>
    <row r="36" spans="2:15" ht="15.75" thickBot="1" x14ac:dyDescent="0.3">
      <c r="B36" s="635">
        <v>11</v>
      </c>
      <c r="C36" s="638" t="s">
        <v>386</v>
      </c>
      <c r="D36" s="639"/>
      <c r="E36" s="639"/>
      <c r="F36" s="639"/>
      <c r="G36" s="639"/>
      <c r="H36" s="640"/>
      <c r="I36" s="626"/>
      <c r="J36" s="626"/>
      <c r="K36" s="627">
        <f>K34-K35</f>
        <v>31319666.100000009</v>
      </c>
      <c r="L36" s="130">
        <f>K36*22.5%</f>
        <v>7046924.8725000024</v>
      </c>
    </row>
    <row r="37" spans="2:15" x14ac:dyDescent="0.25">
      <c r="B37" s="619"/>
      <c r="C37" s="628"/>
      <c r="D37" s="629"/>
      <c r="E37" s="629"/>
      <c r="F37" s="629"/>
      <c r="G37" s="629"/>
      <c r="H37" s="630"/>
      <c r="I37" s="631"/>
      <c r="J37" s="632"/>
      <c r="K37" s="633"/>
      <c r="L37" s="5"/>
    </row>
    <row r="38" spans="2:15" x14ac:dyDescent="0.25">
      <c r="B38" s="620"/>
      <c r="C38" s="1027" t="s">
        <v>189</v>
      </c>
      <c r="D38" s="1028"/>
      <c r="E38" s="1028"/>
      <c r="F38" s="1028"/>
      <c r="G38" s="1028"/>
      <c r="H38" s="1029"/>
      <c r="I38" s="1043"/>
      <c r="J38" s="1044"/>
      <c r="K38" s="1045"/>
      <c r="L38" s="5"/>
    </row>
    <row r="39" spans="2:15" x14ac:dyDescent="0.25">
      <c r="B39" s="620">
        <v>12</v>
      </c>
      <c r="C39" s="1030" t="s">
        <v>387</v>
      </c>
      <c r="D39" s="1030"/>
      <c r="E39" s="1030"/>
      <c r="F39" s="1030"/>
      <c r="G39" s="1030"/>
      <c r="H39" s="1030"/>
      <c r="I39" s="609">
        <v>427929733</v>
      </c>
      <c r="J39" s="610"/>
      <c r="K39" s="641">
        <f>I39*22.5%</f>
        <v>96284189.924999997</v>
      </c>
      <c r="L39" s="130"/>
    </row>
    <row r="40" spans="2:15" ht="15.75" thickBot="1" x14ac:dyDescent="0.3">
      <c r="B40" s="620">
        <v>13</v>
      </c>
      <c r="C40" s="1030" t="s">
        <v>188</v>
      </c>
      <c r="D40" s="1030"/>
      <c r="E40" s="1030"/>
      <c r="F40" s="1030"/>
      <c r="G40" s="1030"/>
      <c r="H40" s="1030"/>
      <c r="I40" s="614">
        <v>337311000</v>
      </c>
      <c r="J40" s="572"/>
      <c r="K40" s="574">
        <v>75894975</v>
      </c>
      <c r="L40" s="130">
        <f>K40/22.5%</f>
        <v>337311000</v>
      </c>
      <c r="M40" s="124"/>
    </row>
    <row r="41" spans="2:15" ht="15.75" thickBot="1" x14ac:dyDescent="0.3">
      <c r="B41" s="635">
        <v>14</v>
      </c>
      <c r="C41" s="638" t="s">
        <v>388</v>
      </c>
      <c r="D41" s="639"/>
      <c r="E41" s="639"/>
      <c r="F41" s="639"/>
      <c r="G41" s="639"/>
      <c r="H41" s="640"/>
      <c r="I41" s="656">
        <f>I39-I40</f>
        <v>90618733</v>
      </c>
      <c r="J41" s="626"/>
      <c r="K41" s="627">
        <f>K39-K40</f>
        <v>20389214.924999997</v>
      </c>
      <c r="L41" s="130"/>
      <c r="M41" s="124"/>
      <c r="O41" s="124">
        <v>10658090</v>
      </c>
    </row>
    <row r="42" spans="2:15" x14ac:dyDescent="0.25">
      <c r="B42" s="619"/>
      <c r="C42" s="643"/>
      <c r="D42" s="643"/>
      <c r="E42" s="643"/>
      <c r="F42" s="643"/>
      <c r="G42" s="643"/>
      <c r="H42" s="643"/>
      <c r="I42" s="631"/>
      <c r="J42" s="632"/>
      <c r="K42" s="633"/>
      <c r="L42" s="130"/>
      <c r="M42" s="124"/>
      <c r="O42" s="568">
        <v>0.22500000000000001</v>
      </c>
    </row>
    <row r="43" spans="2:15" x14ac:dyDescent="0.25">
      <c r="B43" s="620"/>
      <c r="C43" s="1027" t="s">
        <v>190</v>
      </c>
      <c r="D43" s="1028"/>
      <c r="E43" s="1028"/>
      <c r="F43" s="1028"/>
      <c r="G43" s="1028"/>
      <c r="H43" s="1029"/>
      <c r="I43" s="611"/>
      <c r="J43" s="612"/>
      <c r="K43" s="641">
        <v>671763863</v>
      </c>
      <c r="L43" s="5"/>
      <c r="O43" s="124">
        <f>O41*O42</f>
        <v>2398070.25</v>
      </c>
    </row>
    <row r="44" spans="2:15" x14ac:dyDescent="0.25">
      <c r="B44" s="620">
        <v>15</v>
      </c>
      <c r="C44" s="1030" t="s">
        <v>389</v>
      </c>
      <c r="D44" s="1030"/>
      <c r="E44" s="1030"/>
      <c r="F44" s="1030"/>
      <c r="G44" s="1030"/>
      <c r="H44" s="1030"/>
      <c r="I44" s="609"/>
      <c r="J44" s="610"/>
      <c r="K44" s="644">
        <f>K43*22.5%</f>
        <v>151146869.17500001</v>
      </c>
      <c r="L44" s="5"/>
    </row>
    <row r="45" spans="2:15" ht="15.75" thickBot="1" x14ac:dyDescent="0.3">
      <c r="B45" s="620">
        <v>16</v>
      </c>
      <c r="C45" s="1030" t="s">
        <v>191</v>
      </c>
      <c r="D45" s="1030"/>
      <c r="E45" s="1030"/>
      <c r="F45" s="1030"/>
      <c r="G45" s="1030"/>
      <c r="H45" s="1030"/>
      <c r="I45" s="571"/>
      <c r="J45" s="572"/>
      <c r="K45" s="574">
        <v>0</v>
      </c>
      <c r="L45" s="5"/>
    </row>
    <row r="46" spans="2:15" ht="15.75" thickBot="1" x14ac:dyDescent="0.3">
      <c r="B46" s="635">
        <v>17</v>
      </c>
      <c r="C46" s="638" t="s">
        <v>390</v>
      </c>
      <c r="D46" s="639"/>
      <c r="E46" s="639"/>
      <c r="F46" s="639"/>
      <c r="G46" s="639"/>
      <c r="H46" s="640"/>
      <c r="I46" s="625"/>
      <c r="J46" s="626"/>
      <c r="K46" s="627">
        <f>K44-K45</f>
        <v>151146869.17500001</v>
      </c>
      <c r="L46" s="5"/>
    </row>
    <row r="47" spans="2:15" x14ac:dyDescent="0.25">
      <c r="B47" s="619"/>
      <c r="C47" s="643"/>
      <c r="D47" s="643"/>
      <c r="E47" s="643"/>
      <c r="F47" s="643"/>
      <c r="G47" s="643"/>
      <c r="H47" s="643"/>
      <c r="I47" s="631"/>
      <c r="J47" s="632"/>
      <c r="K47" s="633"/>
      <c r="L47" s="5"/>
    </row>
    <row r="48" spans="2:15" x14ac:dyDescent="0.25">
      <c r="B48" s="620"/>
      <c r="C48" s="1027" t="s">
        <v>192</v>
      </c>
      <c r="D48" s="1028"/>
      <c r="E48" s="1028"/>
      <c r="F48" s="1028"/>
      <c r="G48" s="1028"/>
      <c r="H48" s="1029"/>
      <c r="I48" s="571"/>
      <c r="J48" s="572"/>
      <c r="K48" s="634">
        <v>109274643</v>
      </c>
      <c r="L48" s="5"/>
    </row>
    <row r="49" spans="2:15" x14ac:dyDescent="0.25">
      <c r="B49" s="620">
        <v>18</v>
      </c>
      <c r="C49" s="1030" t="s">
        <v>391</v>
      </c>
      <c r="D49" s="1030"/>
      <c r="E49" s="1030"/>
      <c r="F49" s="1030"/>
      <c r="G49" s="1030"/>
      <c r="H49" s="1030"/>
      <c r="I49" s="571"/>
      <c r="J49" s="572"/>
      <c r="K49" s="574">
        <f>K48*22.5%</f>
        <v>24586794.675000001</v>
      </c>
      <c r="L49" s="130">
        <f>K49*0.225</f>
        <v>5532028.8018749999</v>
      </c>
    </row>
    <row r="50" spans="2:15" ht="15.75" thickBot="1" x14ac:dyDescent="0.3">
      <c r="B50" s="620">
        <v>19</v>
      </c>
      <c r="C50" s="1030" t="s">
        <v>193</v>
      </c>
      <c r="D50" s="1030"/>
      <c r="E50" s="1030"/>
      <c r="F50" s="1030"/>
      <c r="G50" s="1030"/>
      <c r="H50" s="1030"/>
      <c r="I50" s="571"/>
      <c r="J50" s="572"/>
      <c r="K50" s="574">
        <v>20610000</v>
      </c>
      <c r="L50" s="130">
        <f>K50*0.225</f>
        <v>4637250</v>
      </c>
    </row>
    <row r="51" spans="2:15" ht="15.75" thickBot="1" x14ac:dyDescent="0.3">
      <c r="B51" s="635">
        <v>20</v>
      </c>
      <c r="C51" s="638" t="s">
        <v>392</v>
      </c>
      <c r="D51" s="639"/>
      <c r="E51" s="639"/>
      <c r="F51" s="639"/>
      <c r="G51" s="639"/>
      <c r="H51" s="640"/>
      <c r="I51" s="625"/>
      <c r="J51" s="626"/>
      <c r="K51" s="627">
        <f>K49-K50</f>
        <v>3976794.6750000007</v>
      </c>
      <c r="L51" s="130">
        <f>K51*0.225</f>
        <v>894778.80187500024</v>
      </c>
    </row>
    <row r="52" spans="2:15" x14ac:dyDescent="0.25">
      <c r="B52" s="646"/>
      <c r="C52" s="628"/>
      <c r="D52" s="629"/>
      <c r="E52" s="629"/>
      <c r="F52" s="629"/>
      <c r="G52" s="629"/>
      <c r="H52" s="630"/>
      <c r="I52" s="631"/>
      <c r="J52" s="632"/>
      <c r="K52" s="633"/>
      <c r="L52" s="130"/>
    </row>
    <row r="53" spans="2:15" x14ac:dyDescent="0.25">
      <c r="B53" s="651"/>
      <c r="C53" s="1027" t="s">
        <v>194</v>
      </c>
      <c r="D53" s="1028"/>
      <c r="E53" s="1028"/>
      <c r="F53" s="1028"/>
      <c r="G53" s="1028"/>
      <c r="H53" s="1029"/>
      <c r="I53" s="571"/>
      <c r="J53" s="572"/>
      <c r="K53" s="645">
        <v>222269479</v>
      </c>
      <c r="L53" s="5"/>
    </row>
    <row r="54" spans="2:15" x14ac:dyDescent="0.25">
      <c r="B54" s="651">
        <v>21</v>
      </c>
      <c r="C54" s="1041" t="s">
        <v>393</v>
      </c>
      <c r="D54" s="1030"/>
      <c r="E54" s="1030"/>
      <c r="F54" s="1030"/>
      <c r="G54" s="1030"/>
      <c r="H54" s="1042"/>
      <c r="I54" s="571"/>
      <c r="J54" s="572"/>
      <c r="K54" s="574">
        <f>K53*22.5%</f>
        <v>50010632.774999999</v>
      </c>
      <c r="L54" s="130">
        <f>K54*0.225</f>
        <v>11252392.374375001</v>
      </c>
    </row>
    <row r="55" spans="2:15" ht="15.75" thickBot="1" x14ac:dyDescent="0.3">
      <c r="B55" s="651">
        <v>22</v>
      </c>
      <c r="C55" s="1038" t="s">
        <v>193</v>
      </c>
      <c r="D55" s="1039"/>
      <c r="E55" s="1039"/>
      <c r="F55" s="1039"/>
      <c r="G55" s="1039"/>
      <c r="H55" s="1040"/>
      <c r="I55" s="571"/>
      <c r="J55" s="572"/>
      <c r="K55" s="574">
        <v>38873250</v>
      </c>
      <c r="L55" s="130">
        <f>K55*0.225</f>
        <v>8746481.25</v>
      </c>
    </row>
    <row r="56" spans="2:15" ht="15.75" thickBot="1" x14ac:dyDescent="0.3">
      <c r="B56" s="624">
        <v>23</v>
      </c>
      <c r="C56" s="575" t="s">
        <v>394</v>
      </c>
      <c r="D56" s="576"/>
      <c r="E56" s="576"/>
      <c r="F56" s="576"/>
      <c r="G56" s="576"/>
      <c r="H56" s="577"/>
      <c r="I56" s="642"/>
      <c r="J56" s="636"/>
      <c r="K56" s="637">
        <f>K54-K55</f>
        <v>11137382.774999999</v>
      </c>
      <c r="L56" s="130">
        <f>K56*0.225</f>
        <v>2505911.1243749997</v>
      </c>
    </row>
    <row r="57" spans="2:15" x14ac:dyDescent="0.25">
      <c r="B57" s="652"/>
      <c r="C57" s="647"/>
      <c r="D57" s="643"/>
      <c r="E57" s="643"/>
      <c r="F57" s="643"/>
      <c r="G57" s="643"/>
      <c r="H57" s="648"/>
      <c r="I57" s="631"/>
      <c r="J57" s="632"/>
      <c r="K57" s="633"/>
      <c r="L57" s="5"/>
      <c r="O57" s="245"/>
    </row>
    <row r="58" spans="2:15" x14ac:dyDescent="0.25">
      <c r="B58" s="649"/>
      <c r="C58" s="1027" t="s">
        <v>195</v>
      </c>
      <c r="D58" s="1028"/>
      <c r="E58" s="1028"/>
      <c r="F58" s="1028"/>
      <c r="G58" s="1028"/>
      <c r="H58" s="1029"/>
      <c r="I58" s="571"/>
      <c r="J58" s="572"/>
      <c r="K58" s="634">
        <v>25469713</v>
      </c>
      <c r="L58" s="130"/>
      <c r="O58" s="157"/>
    </row>
    <row r="59" spans="2:15" x14ac:dyDescent="0.25">
      <c r="B59" s="649">
        <v>24</v>
      </c>
      <c r="C59" s="1041" t="s">
        <v>395</v>
      </c>
      <c r="D59" s="1030"/>
      <c r="E59" s="1030"/>
      <c r="F59" s="1030"/>
      <c r="G59" s="1030"/>
      <c r="H59" s="1042"/>
      <c r="I59" s="571"/>
      <c r="J59" s="572"/>
      <c r="K59" s="574">
        <f>K58*22.5%</f>
        <v>5730685.4249999998</v>
      </c>
      <c r="L59" s="130">
        <f>K59*0.225</f>
        <v>1289404.2206250001</v>
      </c>
      <c r="O59" s="246"/>
    </row>
    <row r="60" spans="2:15" ht="15.75" thickBot="1" x14ac:dyDescent="0.3">
      <c r="B60" s="649">
        <v>25</v>
      </c>
      <c r="C60" s="1038"/>
      <c r="D60" s="1039"/>
      <c r="E60" s="1039"/>
      <c r="F60" s="1039"/>
      <c r="G60" s="1039"/>
      <c r="H60" s="1040"/>
      <c r="I60" s="571"/>
      <c r="J60" s="572"/>
      <c r="K60" s="574"/>
      <c r="L60" s="130">
        <f>K60*0.225</f>
        <v>0</v>
      </c>
    </row>
    <row r="61" spans="2:15" ht="15.75" thickBot="1" x14ac:dyDescent="0.3">
      <c r="B61" s="635">
        <v>26</v>
      </c>
      <c r="C61" s="638" t="s">
        <v>396</v>
      </c>
      <c r="D61" s="639"/>
      <c r="E61" s="639"/>
      <c r="F61" s="639"/>
      <c r="G61" s="639"/>
      <c r="H61" s="640"/>
      <c r="I61" s="625"/>
      <c r="J61" s="626"/>
      <c r="K61" s="627">
        <f>K59-K60</f>
        <v>5730685.4249999998</v>
      </c>
      <c r="L61" s="130">
        <f>K61*0.225</f>
        <v>1289404.2206250001</v>
      </c>
    </row>
    <row r="62" spans="2:15" x14ac:dyDescent="0.25">
      <c r="B62" s="619"/>
      <c r="C62" s="647"/>
      <c r="D62" s="643"/>
      <c r="E62" s="643"/>
      <c r="F62" s="643"/>
      <c r="G62" s="643"/>
      <c r="H62" s="648"/>
      <c r="I62" s="631"/>
      <c r="J62" s="632"/>
      <c r="K62" s="633"/>
      <c r="L62" s="130"/>
    </row>
    <row r="63" spans="2:15" x14ac:dyDescent="0.25">
      <c r="B63" s="620"/>
      <c r="C63" s="1027" t="s">
        <v>196</v>
      </c>
      <c r="D63" s="1028"/>
      <c r="E63" s="1028"/>
      <c r="F63" s="1028"/>
      <c r="G63" s="1028"/>
      <c r="H63" s="1029"/>
      <c r="I63" s="571"/>
      <c r="J63" s="572"/>
      <c r="K63" s="634">
        <v>11005225</v>
      </c>
      <c r="L63" s="130"/>
    </row>
    <row r="64" spans="2:15" x14ac:dyDescent="0.25">
      <c r="B64" s="620">
        <v>27</v>
      </c>
      <c r="C64" s="1030" t="s">
        <v>397</v>
      </c>
      <c r="D64" s="1030"/>
      <c r="E64" s="1030"/>
      <c r="F64" s="1030"/>
      <c r="G64" s="1030"/>
      <c r="H64" s="1030"/>
      <c r="I64" s="571"/>
      <c r="J64" s="572"/>
      <c r="K64" s="574">
        <f>K63*22.5%</f>
        <v>2476175.625</v>
      </c>
      <c r="L64" s="130">
        <f>K64*0.225</f>
        <v>557139.515625</v>
      </c>
    </row>
    <row r="65" spans="2:21" ht="15.75" thickBot="1" x14ac:dyDescent="0.3">
      <c r="B65" s="620">
        <v>28</v>
      </c>
      <c r="C65" s="1030"/>
      <c r="D65" s="1030"/>
      <c r="E65" s="1030"/>
      <c r="F65" s="1030"/>
      <c r="G65" s="1030"/>
      <c r="H65" s="1030"/>
      <c r="I65" s="571"/>
      <c r="J65" s="572"/>
      <c r="K65" s="574"/>
      <c r="L65" s="5"/>
    </row>
    <row r="66" spans="2:21" ht="15.75" thickBot="1" x14ac:dyDescent="0.3">
      <c r="B66" s="635">
        <v>29</v>
      </c>
      <c r="C66" s="575"/>
      <c r="D66" s="576"/>
      <c r="E66" s="576"/>
      <c r="F66" s="576"/>
      <c r="G66" s="576"/>
      <c r="H66" s="577"/>
      <c r="I66" s="642"/>
      <c r="J66" s="636"/>
      <c r="K66" s="578">
        <f>K64-K65</f>
        <v>2476175.625</v>
      </c>
      <c r="L66" s="5"/>
    </row>
    <row r="67" spans="2:21" x14ac:dyDescent="0.25">
      <c r="B67" s="650"/>
      <c r="C67" s="1031" t="s">
        <v>66</v>
      </c>
      <c r="D67" s="1032"/>
      <c r="E67" s="1032"/>
      <c r="F67" s="1032"/>
      <c r="G67" s="1032"/>
      <c r="H67" s="1033"/>
      <c r="I67" s="1034"/>
      <c r="J67" s="1035"/>
      <c r="K67" s="1036"/>
      <c r="L67" s="5"/>
    </row>
    <row r="68" spans="2:21" x14ac:dyDescent="0.25">
      <c r="C68" s="102"/>
      <c r="D68" s="102"/>
      <c r="E68" s="102"/>
      <c r="F68" s="102"/>
      <c r="G68" s="102"/>
      <c r="H68" s="102"/>
      <c r="I68" s="103"/>
      <c r="J68" s="103"/>
      <c r="K68" s="5"/>
      <c r="L68" s="5"/>
    </row>
    <row r="69" spans="2:21" ht="15" customHeight="1" x14ac:dyDescent="0.25">
      <c r="C69" s="102" t="s">
        <v>333</v>
      </c>
      <c r="D69" s="102"/>
      <c r="E69" s="102"/>
      <c r="F69" s="102"/>
      <c r="G69" s="102"/>
      <c r="H69" s="102"/>
      <c r="I69" s="103"/>
      <c r="J69" s="103"/>
      <c r="K69" s="5"/>
      <c r="L69" s="5"/>
    </row>
    <row r="70" spans="2:21" ht="9.6" customHeight="1" x14ac:dyDescent="0.25"/>
    <row r="71" spans="2:21" ht="18" customHeight="1" x14ac:dyDescent="0.25"/>
    <row r="72" spans="2:21" ht="15" customHeight="1" x14ac:dyDescent="0.25">
      <c r="C72" s="1037" t="s">
        <v>14</v>
      </c>
      <c r="D72" s="1024">
        <v>2010</v>
      </c>
      <c r="E72" s="1025"/>
      <c r="F72" s="1026"/>
      <c r="G72" s="1024">
        <v>2011</v>
      </c>
      <c r="H72" s="1025"/>
      <c r="I72" s="1026"/>
      <c r="J72" s="247"/>
      <c r="K72" s="1024">
        <v>2017</v>
      </c>
      <c r="L72" s="1025"/>
      <c r="M72" s="1026"/>
      <c r="N72" s="1024">
        <v>2018</v>
      </c>
      <c r="O72" s="1025"/>
      <c r="P72" s="1026"/>
      <c r="Q72" s="77"/>
      <c r="R72" s="905" t="s">
        <v>198</v>
      </c>
      <c r="S72" s="77"/>
    </row>
    <row r="73" spans="2:21" ht="15" customHeight="1" x14ac:dyDescent="0.25">
      <c r="C73" s="1037"/>
      <c r="D73" s="219" t="s">
        <v>167</v>
      </c>
      <c r="E73" s="219" t="s">
        <v>168</v>
      </c>
      <c r="F73" s="219" t="s">
        <v>169</v>
      </c>
      <c r="G73" s="219" t="s">
        <v>167</v>
      </c>
      <c r="H73" s="219" t="s">
        <v>168</v>
      </c>
      <c r="I73" s="219" t="s">
        <v>169</v>
      </c>
      <c r="J73" s="219"/>
      <c r="K73" s="219" t="s">
        <v>167</v>
      </c>
      <c r="L73" s="219" t="s">
        <v>168</v>
      </c>
      <c r="M73" s="248" t="s">
        <v>169</v>
      </c>
      <c r="N73" s="219" t="s">
        <v>167</v>
      </c>
      <c r="O73" s="219" t="s">
        <v>168</v>
      </c>
      <c r="P73" s="248" t="s">
        <v>169</v>
      </c>
      <c r="Q73" s="77"/>
      <c r="R73" s="905"/>
      <c r="S73" s="77"/>
    </row>
    <row r="74" spans="2:21" ht="15" customHeight="1" x14ac:dyDescent="0.25">
      <c r="C74" s="613" t="s">
        <v>147</v>
      </c>
      <c r="D74" s="50">
        <v>1682502</v>
      </c>
      <c r="E74" s="249">
        <v>4238017</v>
      </c>
      <c r="F74" s="250">
        <f t="shared" ref="F74:F94" si="0">D74+E74</f>
        <v>5920519</v>
      </c>
      <c r="G74" s="50">
        <v>1970081.77</v>
      </c>
      <c r="H74" s="50">
        <v>4430528</v>
      </c>
      <c r="I74" s="250">
        <f t="shared" ref="I74:I94" si="1">G74+H74</f>
        <v>6400609.7699999996</v>
      </c>
      <c r="J74" s="251">
        <f>I74/F74</f>
        <v>1.0810893048396601</v>
      </c>
      <c r="K74" s="50">
        <v>4600138</v>
      </c>
      <c r="L74" s="50">
        <v>6164575</v>
      </c>
      <c r="M74" s="50">
        <f>SUM(K74:L74)</f>
        <v>10764713</v>
      </c>
      <c r="N74" s="50">
        <v>3847011</v>
      </c>
      <c r="O74" s="50">
        <v>7359180</v>
      </c>
      <c r="P74" s="250">
        <f>SUM(N74:O74)</f>
        <v>11206191</v>
      </c>
      <c r="R74" s="123">
        <f>P74/M74</f>
        <v>1.0410115903693855</v>
      </c>
      <c r="S74" s="252"/>
      <c r="T74" s="123"/>
      <c r="U74" s="124"/>
    </row>
    <row r="75" spans="2:21" ht="15" customHeight="1" x14ac:dyDescent="0.25">
      <c r="C75" s="613" t="s">
        <v>148</v>
      </c>
      <c r="D75" s="50">
        <v>1426148</v>
      </c>
      <c r="E75" s="249">
        <v>1269045.2039224801</v>
      </c>
      <c r="F75" s="250">
        <f>D75+E75</f>
        <v>2695193.2039224803</v>
      </c>
      <c r="G75" s="50">
        <v>1509150</v>
      </c>
      <c r="H75" s="50">
        <v>1369030</v>
      </c>
      <c r="I75" s="250">
        <f>G75+H75</f>
        <v>2878180</v>
      </c>
      <c r="J75" s="251">
        <f t="shared" ref="J75:J93" si="2">I75/F75</f>
        <v>1.0678937583440058</v>
      </c>
      <c r="K75" s="50">
        <v>1868560</v>
      </c>
      <c r="L75" s="50">
        <v>4098808</v>
      </c>
      <c r="M75" s="50">
        <f t="shared" ref="M75:M93" si="3">SUM(K75:L75)</f>
        <v>5967368</v>
      </c>
      <c r="N75" s="50">
        <v>2203748</v>
      </c>
      <c r="O75" s="50">
        <v>4292333</v>
      </c>
      <c r="P75" s="250">
        <f>N75+O75</f>
        <v>6496081</v>
      </c>
      <c r="R75" s="123">
        <f t="shared" ref="R75:R93" si="4">P75/M75</f>
        <v>1.0886007030235105</v>
      </c>
      <c r="S75" s="252"/>
      <c r="T75" s="123"/>
      <c r="U75" s="124"/>
    </row>
    <row r="76" spans="2:21" ht="15" customHeight="1" x14ac:dyDescent="0.25">
      <c r="C76" s="613" t="s">
        <v>149</v>
      </c>
      <c r="D76" s="50">
        <v>2556102</v>
      </c>
      <c r="E76" s="249">
        <v>1591529</v>
      </c>
      <c r="F76" s="250">
        <f t="shared" si="0"/>
        <v>4147631</v>
      </c>
      <c r="G76" s="50">
        <v>1516908</v>
      </c>
      <c r="H76" s="50">
        <v>1406499</v>
      </c>
      <c r="I76" s="250">
        <f t="shared" si="1"/>
        <v>2923407</v>
      </c>
      <c r="J76" s="251">
        <f t="shared" si="2"/>
        <v>0.70483777365922862</v>
      </c>
      <c r="K76" s="50">
        <v>272482</v>
      </c>
      <c r="L76" s="50">
        <v>801471</v>
      </c>
      <c r="M76" s="50">
        <f t="shared" si="3"/>
        <v>1073953</v>
      </c>
      <c r="N76" s="50">
        <v>2211427</v>
      </c>
      <c r="O76" s="50">
        <v>1095526</v>
      </c>
      <c r="P76" s="250">
        <f t="shared" ref="P76:P93" si="5">N76+O76</f>
        <v>3306953</v>
      </c>
      <c r="R76" s="123">
        <f t="shared" si="4"/>
        <v>3.0792343799030313</v>
      </c>
      <c r="S76" s="252"/>
      <c r="T76" s="123"/>
      <c r="U76" s="124"/>
    </row>
    <row r="77" spans="2:21" ht="15" customHeight="1" x14ac:dyDescent="0.25">
      <c r="C77" s="613" t="s">
        <v>150</v>
      </c>
      <c r="D77" s="50">
        <v>78746014</v>
      </c>
      <c r="E77" s="249">
        <v>45839494.140000001</v>
      </c>
      <c r="F77" s="250">
        <f>D77+E77</f>
        <v>124585508.14</v>
      </c>
      <c r="G77" s="50">
        <v>78848903</v>
      </c>
      <c r="H77" s="50">
        <v>64656269</v>
      </c>
      <c r="I77" s="250">
        <f>G77+H77</f>
        <v>143505172</v>
      </c>
      <c r="J77" s="251">
        <f t="shared" si="2"/>
        <v>1.1518608716411822</v>
      </c>
      <c r="K77" s="50">
        <v>154339475</v>
      </c>
      <c r="L77" s="50">
        <v>114466230</v>
      </c>
      <c r="M77" s="50">
        <f t="shared" si="3"/>
        <v>268805705</v>
      </c>
      <c r="N77" s="50">
        <v>170774917</v>
      </c>
      <c r="O77" s="50">
        <v>122745095</v>
      </c>
      <c r="P77" s="250">
        <f>N77+O77</f>
        <v>293520012</v>
      </c>
      <c r="R77" s="123">
        <f t="shared" si="4"/>
        <v>1.0919411550435658</v>
      </c>
      <c r="S77" s="252"/>
      <c r="T77" s="123"/>
      <c r="U77" s="124"/>
    </row>
    <row r="78" spans="2:21" ht="15" customHeight="1" x14ac:dyDescent="0.25">
      <c r="C78" s="613" t="s">
        <v>151</v>
      </c>
      <c r="D78" s="50">
        <v>10223733</v>
      </c>
      <c r="E78" s="249">
        <v>19002626</v>
      </c>
      <c r="F78" s="250">
        <f t="shared" si="0"/>
        <v>29226359</v>
      </c>
      <c r="G78" s="50">
        <v>11239004</v>
      </c>
      <c r="H78" s="50">
        <v>19033512</v>
      </c>
      <c r="I78" s="250">
        <f t="shared" si="1"/>
        <v>30272516</v>
      </c>
      <c r="J78" s="251">
        <f t="shared" si="2"/>
        <v>1.0357949821939845</v>
      </c>
      <c r="K78" s="50">
        <v>15872814</v>
      </c>
      <c r="L78" s="50">
        <v>9610927</v>
      </c>
      <c r="M78" s="50">
        <f t="shared" si="3"/>
        <v>25483741</v>
      </c>
      <c r="N78" s="50">
        <v>15746604</v>
      </c>
      <c r="O78" s="50">
        <v>10379876</v>
      </c>
      <c r="P78" s="250">
        <f t="shared" si="5"/>
        <v>26126480</v>
      </c>
      <c r="R78" s="123">
        <f t="shared" si="4"/>
        <v>1.0252215324272838</v>
      </c>
      <c r="S78" s="252"/>
      <c r="T78" s="123"/>
      <c r="U78" s="124"/>
    </row>
    <row r="79" spans="2:21" ht="15" customHeight="1" x14ac:dyDescent="0.25">
      <c r="C79" s="613" t="s">
        <v>152</v>
      </c>
      <c r="D79" s="50">
        <v>15115</v>
      </c>
      <c r="E79" s="249">
        <v>747024.60800000001</v>
      </c>
      <c r="F79" s="250">
        <f>D79+E79</f>
        <v>762139.60800000001</v>
      </c>
      <c r="G79" s="50">
        <v>15047.65</v>
      </c>
      <c r="H79" s="50">
        <v>46822</v>
      </c>
      <c r="I79" s="250">
        <f>G79+H79</f>
        <v>61869.65</v>
      </c>
      <c r="J79" s="251">
        <f t="shared" si="2"/>
        <v>8.1178893408200878E-2</v>
      </c>
      <c r="K79" s="50">
        <v>23315</v>
      </c>
      <c r="L79" s="50">
        <v>123172</v>
      </c>
      <c r="M79" s="50">
        <f t="shared" si="3"/>
        <v>146487</v>
      </c>
      <c r="N79" s="50">
        <v>33467</v>
      </c>
      <c r="O79" s="50">
        <v>82331</v>
      </c>
      <c r="P79" s="250">
        <f>N79+O79</f>
        <v>115798</v>
      </c>
      <c r="R79" s="123">
        <f t="shared" si="4"/>
        <v>0.79050018090342489</v>
      </c>
      <c r="S79" s="252"/>
      <c r="T79" s="123"/>
      <c r="U79" s="124"/>
    </row>
    <row r="80" spans="2:21" ht="15" customHeight="1" x14ac:dyDescent="0.25">
      <c r="C80" s="613" t="s">
        <v>153</v>
      </c>
      <c r="D80" s="50">
        <v>39804</v>
      </c>
      <c r="E80" s="249">
        <v>70181</v>
      </c>
      <c r="F80" s="250">
        <f>D80+E80</f>
        <v>109985</v>
      </c>
      <c r="G80" s="50">
        <v>11353.99</v>
      </c>
      <c r="H80" s="50">
        <v>108200</v>
      </c>
      <c r="I80" s="250">
        <f>G80+H80</f>
        <v>119553.99</v>
      </c>
      <c r="J80" s="251">
        <f t="shared" si="2"/>
        <v>1.0870026821839343</v>
      </c>
      <c r="K80" s="50">
        <v>10148</v>
      </c>
      <c r="L80" s="50">
        <v>27360</v>
      </c>
      <c r="M80" s="50">
        <f t="shared" si="3"/>
        <v>37508</v>
      </c>
      <c r="N80" s="50">
        <v>13603</v>
      </c>
      <c r="O80" s="50">
        <v>78610</v>
      </c>
      <c r="P80" s="250">
        <f>N80+O80</f>
        <v>92213</v>
      </c>
      <c r="R80" s="123">
        <f t="shared" si="4"/>
        <v>2.4584888557107818</v>
      </c>
      <c r="S80" s="252"/>
      <c r="T80" s="123"/>
      <c r="U80" s="124"/>
    </row>
    <row r="81" spans="3:21" ht="15" customHeight="1" x14ac:dyDescent="0.25">
      <c r="C81" s="613" t="s">
        <v>154</v>
      </c>
      <c r="D81" s="50">
        <v>3802609</v>
      </c>
      <c r="E81" s="249">
        <v>3607111</v>
      </c>
      <c r="F81" s="250">
        <f t="shared" si="0"/>
        <v>7409720</v>
      </c>
      <c r="G81" s="50">
        <v>5015719</v>
      </c>
      <c r="H81" s="50">
        <v>3584924</v>
      </c>
      <c r="I81" s="250">
        <f t="shared" si="1"/>
        <v>8600643</v>
      </c>
      <c r="J81" s="251">
        <f t="shared" si="2"/>
        <v>1.1607244268339425</v>
      </c>
      <c r="K81" s="50">
        <v>9995787</v>
      </c>
      <c r="L81" s="50">
        <v>2921966</v>
      </c>
      <c r="M81" s="50">
        <f t="shared" si="3"/>
        <v>12917753</v>
      </c>
      <c r="N81" s="50">
        <v>5696258</v>
      </c>
      <c r="O81" s="50">
        <v>5984263</v>
      </c>
      <c r="P81" s="250">
        <f t="shared" si="5"/>
        <v>11680521</v>
      </c>
      <c r="R81" s="123">
        <f t="shared" si="4"/>
        <v>0.90422235198335188</v>
      </c>
      <c r="S81" s="252"/>
      <c r="T81" s="123"/>
      <c r="U81" s="124"/>
    </row>
    <row r="82" spans="3:21" ht="15" customHeight="1" x14ac:dyDescent="0.25">
      <c r="C82" s="613" t="s">
        <v>155</v>
      </c>
      <c r="D82" s="50">
        <v>679452.26649999991</v>
      </c>
      <c r="E82" s="249">
        <v>979732.52173799998</v>
      </c>
      <c r="F82" s="250">
        <f t="shared" si="0"/>
        <v>1659184.7882379999</v>
      </c>
      <c r="G82" s="50">
        <v>709042</v>
      </c>
      <c r="H82" s="50">
        <v>1116169</v>
      </c>
      <c r="I82" s="250">
        <f t="shared" si="1"/>
        <v>1825211</v>
      </c>
      <c r="J82" s="251">
        <f t="shared" si="2"/>
        <v>1.1000649312475403</v>
      </c>
      <c r="K82" s="50">
        <v>1515005</v>
      </c>
      <c r="L82" s="50">
        <v>1085491</v>
      </c>
      <c r="M82" s="50">
        <f t="shared" si="3"/>
        <v>2600496</v>
      </c>
      <c r="N82" s="50">
        <v>2229122</v>
      </c>
      <c r="O82" s="50">
        <v>1191698</v>
      </c>
      <c r="P82" s="250">
        <f t="shared" si="5"/>
        <v>3420820</v>
      </c>
      <c r="R82" s="123">
        <f t="shared" si="4"/>
        <v>1.315449052796082</v>
      </c>
      <c r="S82" s="252"/>
      <c r="T82" s="123"/>
      <c r="U82" s="124"/>
    </row>
    <row r="83" spans="3:21" ht="15" customHeight="1" x14ac:dyDescent="0.25">
      <c r="C83" s="613" t="s">
        <v>156</v>
      </c>
      <c r="D83" s="50">
        <v>490919.83199999999</v>
      </c>
      <c r="E83" s="249">
        <v>305440</v>
      </c>
      <c r="F83" s="250">
        <f>D83+E83</f>
        <v>796359.83199999994</v>
      </c>
      <c r="G83" s="50">
        <v>501773</v>
      </c>
      <c r="H83" s="50">
        <v>254381</v>
      </c>
      <c r="I83" s="250">
        <f>G83+H83</f>
        <v>756154</v>
      </c>
      <c r="J83" s="251">
        <f t="shared" si="2"/>
        <v>0.94951298347252655</v>
      </c>
      <c r="K83" s="50">
        <v>2011785</v>
      </c>
      <c r="L83" s="50">
        <v>188489</v>
      </c>
      <c r="M83" s="50">
        <f t="shared" si="3"/>
        <v>2200274</v>
      </c>
      <c r="N83" s="50">
        <v>2096161</v>
      </c>
      <c r="O83" s="50">
        <v>270627</v>
      </c>
      <c r="P83" s="250">
        <f>N83+O83</f>
        <v>2366788</v>
      </c>
      <c r="R83" s="123">
        <f t="shared" si="4"/>
        <v>1.0756787563730699</v>
      </c>
      <c r="S83" s="252"/>
      <c r="T83" s="123"/>
      <c r="U83" s="124"/>
    </row>
    <row r="84" spans="3:21" ht="15" customHeight="1" x14ac:dyDescent="0.25">
      <c r="C84" s="613" t="s">
        <v>157</v>
      </c>
      <c r="D84" s="50">
        <v>751355</v>
      </c>
      <c r="E84" s="249">
        <v>540322</v>
      </c>
      <c r="F84" s="250">
        <f t="shared" si="0"/>
        <v>1291677</v>
      </c>
      <c r="G84" s="50">
        <v>833122.71</v>
      </c>
      <c r="H84" s="50">
        <v>449768</v>
      </c>
      <c r="I84" s="250">
        <f t="shared" si="1"/>
        <v>1282890.71</v>
      </c>
      <c r="J84" s="251">
        <f t="shared" si="2"/>
        <v>0.99319776538561877</v>
      </c>
      <c r="K84" s="50">
        <v>1207189</v>
      </c>
      <c r="L84" s="50">
        <v>552064</v>
      </c>
      <c r="M84" s="50">
        <f t="shared" si="3"/>
        <v>1759253</v>
      </c>
      <c r="N84" s="50">
        <v>1480024</v>
      </c>
      <c r="O84" s="50">
        <v>857904</v>
      </c>
      <c r="P84" s="250">
        <f t="shared" si="5"/>
        <v>2337928</v>
      </c>
      <c r="R84" s="123">
        <f t="shared" si="4"/>
        <v>1.3289322229378038</v>
      </c>
      <c r="S84" s="252"/>
      <c r="T84" s="123"/>
      <c r="U84" s="124"/>
    </row>
    <row r="85" spans="3:21" ht="15" customHeight="1" x14ac:dyDescent="0.25">
      <c r="C85" s="613" t="s">
        <v>158</v>
      </c>
      <c r="D85" s="50">
        <v>359295</v>
      </c>
      <c r="E85" s="249">
        <v>1815345</v>
      </c>
      <c r="F85" s="250">
        <f t="shared" si="0"/>
        <v>2174640</v>
      </c>
      <c r="G85" s="50">
        <v>355184</v>
      </c>
      <c r="H85" s="50">
        <v>1292100</v>
      </c>
      <c r="I85" s="250">
        <f t="shared" si="1"/>
        <v>1647284</v>
      </c>
      <c r="J85" s="251">
        <f t="shared" si="2"/>
        <v>0.75749733289188093</v>
      </c>
      <c r="K85" s="50">
        <v>443946</v>
      </c>
      <c r="L85" s="50">
        <v>2361354</v>
      </c>
      <c r="M85" s="50">
        <f t="shared" si="3"/>
        <v>2805300</v>
      </c>
      <c r="N85" s="50">
        <v>532672</v>
      </c>
      <c r="O85" s="50">
        <v>2161785</v>
      </c>
      <c r="P85" s="250">
        <f t="shared" si="5"/>
        <v>2694457</v>
      </c>
      <c r="R85" s="123">
        <f t="shared" si="4"/>
        <v>0.96048800484796637</v>
      </c>
      <c r="S85" s="252"/>
      <c r="T85" s="123"/>
      <c r="U85" s="124"/>
    </row>
    <row r="86" spans="3:21" ht="15" customHeight="1" x14ac:dyDescent="0.25">
      <c r="C86" s="613" t="s">
        <v>159</v>
      </c>
      <c r="D86" s="50">
        <v>1867043</v>
      </c>
      <c r="E86" s="249">
        <v>2195979</v>
      </c>
      <c r="F86" s="250">
        <f t="shared" si="0"/>
        <v>4063022</v>
      </c>
      <c r="G86" s="50">
        <v>1773965</v>
      </c>
      <c r="H86" s="50">
        <v>1766959</v>
      </c>
      <c r="I86" s="250">
        <f t="shared" si="1"/>
        <v>3540924</v>
      </c>
      <c r="J86" s="251">
        <f t="shared" si="2"/>
        <v>0.87150008048196637</v>
      </c>
      <c r="K86" s="50">
        <v>4722861</v>
      </c>
      <c r="L86" s="50">
        <v>1595892</v>
      </c>
      <c r="M86" s="50">
        <f t="shared" si="3"/>
        <v>6318753</v>
      </c>
      <c r="N86" s="50">
        <v>4431219</v>
      </c>
      <c r="O86" s="50">
        <v>2234250</v>
      </c>
      <c r="P86" s="250">
        <f t="shared" si="5"/>
        <v>6665469</v>
      </c>
      <c r="R86" s="123">
        <f t="shared" si="4"/>
        <v>1.0548709531769955</v>
      </c>
      <c r="S86" s="252"/>
      <c r="T86" s="123"/>
      <c r="U86" s="124"/>
    </row>
    <row r="87" spans="3:21" ht="15" customHeight="1" x14ac:dyDescent="0.25">
      <c r="C87" s="613" t="s">
        <v>160</v>
      </c>
      <c r="D87" s="50">
        <v>587111</v>
      </c>
      <c r="E87" s="249">
        <v>404106.06761000003</v>
      </c>
      <c r="F87" s="250">
        <f>D87+E87</f>
        <v>991217.06761000003</v>
      </c>
      <c r="G87" s="50">
        <v>627237.49</v>
      </c>
      <c r="H87" s="50">
        <v>442866</v>
      </c>
      <c r="I87" s="250">
        <f>G87+H87</f>
        <v>1070103.49</v>
      </c>
      <c r="J87" s="251">
        <f t="shared" si="2"/>
        <v>1.079585415715459</v>
      </c>
      <c r="K87" s="50">
        <v>878681</v>
      </c>
      <c r="L87" s="50">
        <v>1097834</v>
      </c>
      <c r="M87" s="50">
        <f t="shared" si="3"/>
        <v>1976515</v>
      </c>
      <c r="N87" s="50">
        <v>1074974</v>
      </c>
      <c r="O87" s="50">
        <v>746412</v>
      </c>
      <c r="P87" s="250">
        <f>N87+O87</f>
        <v>1821386</v>
      </c>
      <c r="R87" s="123">
        <f t="shared" si="4"/>
        <v>0.92151387669711593</v>
      </c>
      <c r="S87" s="252"/>
      <c r="T87" s="123"/>
      <c r="U87" s="124"/>
    </row>
    <row r="88" spans="3:21" ht="15" customHeight="1" x14ac:dyDescent="0.25">
      <c r="C88" s="613" t="s">
        <v>161</v>
      </c>
      <c r="D88" s="50">
        <v>1034790</v>
      </c>
      <c r="E88" s="249">
        <v>1930723.26</v>
      </c>
      <c r="F88" s="250">
        <f t="shared" si="0"/>
        <v>2965513.26</v>
      </c>
      <c r="G88" s="50">
        <v>1086831.6499999999</v>
      </c>
      <c r="H88" s="50">
        <v>967094</v>
      </c>
      <c r="I88" s="250">
        <f t="shared" si="1"/>
        <v>2053925.65</v>
      </c>
      <c r="J88" s="251">
        <f t="shared" si="2"/>
        <v>0.69260376532593892</v>
      </c>
      <c r="K88" s="50">
        <v>2361650</v>
      </c>
      <c r="L88" s="50">
        <v>2335873</v>
      </c>
      <c r="M88" s="50">
        <f t="shared" si="3"/>
        <v>4697523</v>
      </c>
      <c r="N88" s="50">
        <v>2058103</v>
      </c>
      <c r="O88" s="50">
        <v>2519056</v>
      </c>
      <c r="P88" s="250">
        <f t="shared" si="5"/>
        <v>4577159</v>
      </c>
      <c r="R88" s="123">
        <f t="shared" si="4"/>
        <v>0.97437713450258789</v>
      </c>
      <c r="S88" s="252"/>
      <c r="T88" s="123"/>
      <c r="U88" s="124"/>
    </row>
    <row r="89" spans="3:21" ht="15" customHeight="1" x14ac:dyDescent="0.25">
      <c r="C89" s="613" t="s">
        <v>162</v>
      </c>
      <c r="D89" s="50">
        <v>3445369.4415000002</v>
      </c>
      <c r="E89" s="249">
        <v>7876143</v>
      </c>
      <c r="F89" s="250">
        <f t="shared" si="0"/>
        <v>11321512.441500001</v>
      </c>
      <c r="G89" s="50">
        <v>3855604</v>
      </c>
      <c r="H89" s="50">
        <v>8804594</v>
      </c>
      <c r="I89" s="250">
        <f t="shared" si="1"/>
        <v>12660198</v>
      </c>
      <c r="J89" s="251">
        <f t="shared" si="2"/>
        <v>1.1182426434115755</v>
      </c>
      <c r="K89" s="50">
        <v>4200863</v>
      </c>
      <c r="L89" s="50">
        <v>11809025</v>
      </c>
      <c r="M89" s="50">
        <f t="shared" si="3"/>
        <v>16009888</v>
      </c>
      <c r="N89" s="50">
        <v>4902160</v>
      </c>
      <c r="O89" s="50">
        <v>11312920</v>
      </c>
      <c r="P89" s="250">
        <f t="shared" si="5"/>
        <v>16215080</v>
      </c>
      <c r="R89" s="123">
        <f t="shared" si="4"/>
        <v>1.0128165793539592</v>
      </c>
      <c r="S89" s="252"/>
      <c r="T89" s="123"/>
      <c r="U89" s="124"/>
    </row>
    <row r="90" spans="3:21" ht="15" customHeight="1" x14ac:dyDescent="0.25">
      <c r="C90" s="613" t="s">
        <v>163</v>
      </c>
      <c r="D90" s="50">
        <v>1263023</v>
      </c>
      <c r="E90" s="249">
        <v>1192004</v>
      </c>
      <c r="F90" s="250">
        <f t="shared" si="0"/>
        <v>2455027</v>
      </c>
      <c r="G90" s="50">
        <v>1110492</v>
      </c>
      <c r="H90" s="50">
        <v>1122164</v>
      </c>
      <c r="I90" s="250">
        <f t="shared" si="1"/>
        <v>2232656</v>
      </c>
      <c r="J90" s="251">
        <f t="shared" si="2"/>
        <v>0.90942217743430109</v>
      </c>
      <c r="K90" s="50">
        <v>2916876</v>
      </c>
      <c r="L90" s="50">
        <v>1649032</v>
      </c>
      <c r="M90" s="50">
        <f t="shared" si="3"/>
        <v>4565908</v>
      </c>
      <c r="N90" s="50">
        <v>2588653</v>
      </c>
      <c r="O90" s="50">
        <v>1751273</v>
      </c>
      <c r="P90" s="250">
        <f t="shared" si="5"/>
        <v>4339926</v>
      </c>
      <c r="R90" s="123">
        <f t="shared" si="4"/>
        <v>0.95050666811508244</v>
      </c>
      <c r="S90" s="252"/>
      <c r="T90" s="123"/>
      <c r="U90" s="124"/>
    </row>
    <row r="91" spans="3:21" ht="15" customHeight="1" x14ac:dyDescent="0.25">
      <c r="C91" s="613" t="s">
        <v>164</v>
      </c>
      <c r="D91" s="50">
        <v>38607672.27335</v>
      </c>
      <c r="E91" s="249">
        <v>102423063.05140001</v>
      </c>
      <c r="F91" s="250">
        <f>D91+E91</f>
        <v>141030735.32475001</v>
      </c>
      <c r="G91" s="50">
        <v>38794615</v>
      </c>
      <c r="H91" s="50">
        <v>103320484</v>
      </c>
      <c r="I91" s="250">
        <f>G91+H91</f>
        <v>142115099</v>
      </c>
      <c r="J91" s="251">
        <f t="shared" si="2"/>
        <v>1.0076888464968508</v>
      </c>
      <c r="K91" s="50">
        <v>54817026</v>
      </c>
      <c r="L91" s="50">
        <v>285002518</v>
      </c>
      <c r="M91" s="50">
        <f t="shared" si="3"/>
        <v>339819544</v>
      </c>
      <c r="N91" s="569">
        <v>68254405</v>
      </c>
      <c r="O91" s="50">
        <v>181485941</v>
      </c>
      <c r="P91" s="250">
        <f>N91+O91</f>
        <v>249740346</v>
      </c>
      <c r="R91" s="123">
        <f t="shared" si="4"/>
        <v>0.73492049062369413</v>
      </c>
      <c r="S91" s="252"/>
      <c r="T91" s="123"/>
      <c r="U91" s="124"/>
    </row>
    <row r="92" spans="3:21" ht="15" customHeight="1" x14ac:dyDescent="0.25">
      <c r="C92" s="613" t="s">
        <v>165</v>
      </c>
      <c r="D92" s="50">
        <v>1053724</v>
      </c>
      <c r="E92" s="249">
        <v>1760700</v>
      </c>
      <c r="F92" s="250">
        <f t="shared" si="0"/>
        <v>2814424</v>
      </c>
      <c r="G92" s="50">
        <v>974443</v>
      </c>
      <c r="H92" s="50">
        <v>1955033</v>
      </c>
      <c r="I92" s="250">
        <f t="shared" si="1"/>
        <v>2929476</v>
      </c>
      <c r="J92" s="251">
        <f t="shared" si="2"/>
        <v>1.0408794126258161</v>
      </c>
      <c r="K92" s="50">
        <v>824105</v>
      </c>
      <c r="L92" s="50">
        <v>1076489</v>
      </c>
      <c r="M92" s="50">
        <f t="shared" si="3"/>
        <v>1900594</v>
      </c>
      <c r="N92" s="50">
        <v>1341794</v>
      </c>
      <c r="O92" s="50">
        <v>1265479</v>
      </c>
      <c r="P92" s="250">
        <f t="shared" si="5"/>
        <v>2607273</v>
      </c>
      <c r="R92" s="123">
        <f t="shared" si="4"/>
        <v>1.3718200730929384</v>
      </c>
      <c r="S92" s="252"/>
      <c r="T92" s="123"/>
      <c r="U92" s="124"/>
    </row>
    <row r="93" spans="3:21" ht="15" customHeight="1" x14ac:dyDescent="0.25">
      <c r="C93" s="613" t="s">
        <v>166</v>
      </c>
      <c r="D93" s="50">
        <v>4668675</v>
      </c>
      <c r="E93" s="249">
        <v>9408641</v>
      </c>
      <c r="F93" s="250">
        <f t="shared" si="0"/>
        <v>14077316</v>
      </c>
      <c r="G93" s="50">
        <v>5684224</v>
      </c>
      <c r="H93" s="50">
        <v>11342255</v>
      </c>
      <c r="I93" s="250">
        <f t="shared" si="1"/>
        <v>17026479</v>
      </c>
      <c r="J93" s="251">
        <f t="shared" si="2"/>
        <v>1.2094975348994084</v>
      </c>
      <c r="K93" s="50">
        <v>8125909</v>
      </c>
      <c r="L93" s="50">
        <v>17789868</v>
      </c>
      <c r="M93" s="50">
        <f t="shared" si="3"/>
        <v>25915777</v>
      </c>
      <c r="N93" s="50">
        <v>10345095</v>
      </c>
      <c r="O93" s="50">
        <v>27454438</v>
      </c>
      <c r="P93" s="250">
        <f t="shared" si="5"/>
        <v>37799533</v>
      </c>
      <c r="R93" s="123">
        <f t="shared" si="4"/>
        <v>1.4585529501970942</v>
      </c>
      <c r="S93" s="252"/>
      <c r="T93" s="123"/>
      <c r="U93" s="124"/>
    </row>
    <row r="94" spans="3:21" ht="15" customHeight="1" x14ac:dyDescent="0.25">
      <c r="C94" s="147" t="s">
        <v>66</v>
      </c>
      <c r="D94" s="250">
        <f>SUM(D74:D93)</f>
        <v>153300456.81334999</v>
      </c>
      <c r="E94" s="250">
        <f>SUM(E74:E93)</f>
        <v>207197226.85267049</v>
      </c>
      <c r="F94" s="250">
        <f t="shared" si="0"/>
        <v>360497683.66602051</v>
      </c>
      <c r="G94" s="250">
        <f>SUM(G74:G93)</f>
        <v>156432701.25999999</v>
      </c>
      <c r="H94" s="250">
        <f>SUM(H74:H93)</f>
        <v>227469651</v>
      </c>
      <c r="I94" s="250">
        <f t="shared" si="1"/>
        <v>383902352.25999999</v>
      </c>
      <c r="J94" s="251"/>
      <c r="K94" s="250">
        <f t="shared" ref="K94:P94" si="6">SUM(K74:K93)</f>
        <v>271008615</v>
      </c>
      <c r="L94" s="250">
        <f t="shared" si="6"/>
        <v>464758438</v>
      </c>
      <c r="M94" s="250">
        <f t="shared" si="6"/>
        <v>735767053</v>
      </c>
      <c r="N94" s="250">
        <f t="shared" si="6"/>
        <v>301861417</v>
      </c>
      <c r="O94" s="250">
        <f t="shared" si="6"/>
        <v>385268997</v>
      </c>
      <c r="P94" s="253">
        <f t="shared" si="6"/>
        <v>687130414</v>
      </c>
      <c r="R94" s="123">
        <f>SUM(R74:R93)</f>
        <v>24.639147512078722</v>
      </c>
      <c r="S94" s="254"/>
      <c r="T94" s="123"/>
      <c r="U94" s="124"/>
    </row>
    <row r="95" spans="3:21" ht="15" customHeight="1" x14ac:dyDescent="0.25">
      <c r="R95" s="124"/>
      <c r="S95" s="124"/>
      <c r="T95" s="124"/>
      <c r="U95" s="124"/>
    </row>
    <row r="96" spans="3:21" ht="15" customHeight="1" x14ac:dyDescent="0.25">
      <c r="R96" s="124"/>
      <c r="S96" s="124"/>
      <c r="T96" s="124"/>
      <c r="U96" s="124"/>
    </row>
    <row r="97" spans="14:21" x14ac:dyDescent="0.25">
      <c r="R97" s="124"/>
      <c r="S97" s="124"/>
      <c r="T97" s="124"/>
      <c r="U97" s="124"/>
    </row>
    <row r="98" spans="14:21" x14ac:dyDescent="0.25">
      <c r="O98" s="217"/>
      <c r="R98" s="124"/>
      <c r="S98" s="124"/>
      <c r="T98" s="124"/>
      <c r="U98" s="124"/>
    </row>
    <row r="99" spans="14:21" x14ac:dyDescent="0.25">
      <c r="N99">
        <v>301861417</v>
      </c>
      <c r="R99" s="124"/>
      <c r="S99" s="124"/>
      <c r="T99" s="124"/>
      <c r="U99" s="124"/>
    </row>
    <row r="100" spans="14:21" x14ac:dyDescent="0.25">
      <c r="N100" s="217">
        <f>N99-N94</f>
        <v>0</v>
      </c>
      <c r="R100" s="124"/>
      <c r="S100" s="124"/>
      <c r="T100" s="124"/>
      <c r="U100" s="124"/>
    </row>
  </sheetData>
  <mergeCells count="63">
    <mergeCell ref="C10:H10"/>
    <mergeCell ref="I10:K10"/>
    <mergeCell ref="C4:K4"/>
    <mergeCell ref="B5:K5"/>
    <mergeCell ref="B6:H6"/>
    <mergeCell ref="C8:H8"/>
    <mergeCell ref="C9:H9"/>
    <mergeCell ref="C18:H18"/>
    <mergeCell ref="C19:H19"/>
    <mergeCell ref="I19:K19"/>
    <mergeCell ref="C12:H12"/>
    <mergeCell ref="I12:K12"/>
    <mergeCell ref="C13:H13"/>
    <mergeCell ref="I13:K13"/>
    <mergeCell ref="C14:H14"/>
    <mergeCell ref="I14:K14"/>
    <mergeCell ref="C15:H15"/>
    <mergeCell ref="I15:K15"/>
    <mergeCell ref="C16:H16"/>
    <mergeCell ref="I16:K16"/>
    <mergeCell ref="C17:H17"/>
    <mergeCell ref="I17:K17"/>
    <mergeCell ref="C20:H20"/>
    <mergeCell ref="I20:K20"/>
    <mergeCell ref="C30:H30"/>
    <mergeCell ref="C31:H31"/>
    <mergeCell ref="C33:H33"/>
    <mergeCell ref="C26:H26"/>
    <mergeCell ref="C29:H29"/>
    <mergeCell ref="C21:H21"/>
    <mergeCell ref="I21:K21"/>
    <mergeCell ref="C22:H22"/>
    <mergeCell ref="C23:H23"/>
    <mergeCell ref="C25:H25"/>
    <mergeCell ref="C34:H34"/>
    <mergeCell ref="C35:H35"/>
    <mergeCell ref="I38:K38"/>
    <mergeCell ref="C39:H39"/>
    <mergeCell ref="C40:H40"/>
    <mergeCell ref="C43:H43"/>
    <mergeCell ref="C38:H38"/>
    <mergeCell ref="C60:H60"/>
    <mergeCell ref="C44:H44"/>
    <mergeCell ref="C45:H45"/>
    <mergeCell ref="C48:H48"/>
    <mergeCell ref="C49:H49"/>
    <mergeCell ref="C50:H50"/>
    <mergeCell ref="C53:H53"/>
    <mergeCell ref="C54:H54"/>
    <mergeCell ref="C55:H55"/>
    <mergeCell ref="C58:H58"/>
    <mergeCell ref="C59:H59"/>
    <mergeCell ref="N72:P72"/>
    <mergeCell ref="R72:R73"/>
    <mergeCell ref="C63:H63"/>
    <mergeCell ref="C64:H64"/>
    <mergeCell ref="C65:H65"/>
    <mergeCell ref="C67:H67"/>
    <mergeCell ref="I67:K67"/>
    <mergeCell ref="C72:C73"/>
    <mergeCell ref="D72:F72"/>
    <mergeCell ref="G72:I72"/>
    <mergeCell ref="K72:M72"/>
  </mergeCells>
  <pageMargins left="0" right="0.11811023622047245" top="0.41" bottom="0.74803149606299213" header="0.31496062992125984" footer="0.31496062992125984"/>
  <pageSetup scale="72"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tabColor theme="9" tint="0.39997558519241921"/>
  </sheetPr>
  <dimension ref="A1:T26"/>
  <sheetViews>
    <sheetView workbookViewId="0">
      <selection activeCell="I12" sqref="I12:K12"/>
    </sheetView>
  </sheetViews>
  <sheetFormatPr baseColWidth="10" defaultRowHeight="12.75" x14ac:dyDescent="0.2"/>
  <cols>
    <col min="1" max="1" width="16.42578125" style="658" bestFit="1" customWidth="1"/>
    <col min="2" max="2" width="9.140625" style="658" hidden="1" customWidth="1"/>
    <col min="3" max="10" width="9.5703125" style="658" bestFit="1" customWidth="1"/>
    <col min="11" max="11" width="9.7109375" style="658" bestFit="1" customWidth="1"/>
    <col min="12" max="14" width="9.5703125" style="658" bestFit="1" customWidth="1"/>
    <col min="15" max="15" width="10.85546875" style="658" bestFit="1" customWidth="1"/>
    <col min="16" max="16" width="12.7109375" style="658" bestFit="1" customWidth="1"/>
    <col min="17" max="19" width="11.42578125" style="658"/>
    <col min="20" max="20" width="11.7109375" style="658" bestFit="1" customWidth="1"/>
    <col min="21" max="16384" width="11.42578125" style="658"/>
  </cols>
  <sheetData>
    <row r="1" spans="1:17" x14ac:dyDescent="0.2">
      <c r="A1" s="1021" t="s">
        <v>432</v>
      </c>
      <c r="B1" s="1021"/>
      <c r="C1" s="1021"/>
      <c r="D1" s="1021"/>
      <c r="E1" s="1021"/>
      <c r="F1" s="1021"/>
      <c r="G1" s="1021"/>
      <c r="H1" s="1021"/>
      <c r="I1" s="1021"/>
      <c r="J1" s="1021"/>
      <c r="K1" s="1021"/>
      <c r="L1" s="1021"/>
      <c r="M1" s="1021"/>
      <c r="N1" s="1021"/>
      <c r="O1" s="1021"/>
    </row>
    <row r="2" spans="1:17" ht="13.5" thickBot="1" x14ac:dyDescent="0.25"/>
    <row r="3" spans="1:17" ht="23.25" thickBot="1" x14ac:dyDescent="0.25">
      <c r="A3" s="685" t="s">
        <v>357</v>
      </c>
      <c r="B3" s="686" t="s">
        <v>283</v>
      </c>
      <c r="C3" s="685" t="s">
        <v>1</v>
      </c>
      <c r="D3" s="687" t="s">
        <v>2</v>
      </c>
      <c r="E3" s="685" t="s">
        <v>3</v>
      </c>
      <c r="F3" s="687" t="s">
        <v>4</v>
      </c>
      <c r="G3" s="685" t="s">
        <v>5</v>
      </c>
      <c r="H3" s="685" t="s">
        <v>6</v>
      </c>
      <c r="I3" s="685" t="s">
        <v>7</v>
      </c>
      <c r="J3" s="687" t="s">
        <v>8</v>
      </c>
      <c r="K3" s="685" t="s">
        <v>9</v>
      </c>
      <c r="L3" s="687" t="s">
        <v>10</v>
      </c>
      <c r="M3" s="685" t="s">
        <v>11</v>
      </c>
      <c r="N3" s="685" t="s">
        <v>12</v>
      </c>
      <c r="O3" s="688" t="s">
        <v>169</v>
      </c>
    </row>
    <row r="4" spans="1:17" x14ac:dyDescent="0.2">
      <c r="A4" s="663" t="s">
        <v>284</v>
      </c>
      <c r="B4" s="683"/>
      <c r="C4" s="665">
        <f>F.G.P.INCREMENTO!C7</f>
        <v>918503.23252858629</v>
      </c>
      <c r="D4" s="665">
        <f>F.G.P.INCREMENTO!D7</f>
        <v>1837576.5025345788</v>
      </c>
      <c r="E4" s="665">
        <f>F.G.P.INCREMENTO!E7</f>
        <v>1334453.6659757087</v>
      </c>
      <c r="F4" s="665">
        <f>F.G.P.INCREMENTO!F7</f>
        <v>2353830.3410116751</v>
      </c>
      <c r="G4" s="665">
        <f>F.G.P.INCREMENTO!G7</f>
        <v>1855435.0485964282</v>
      </c>
      <c r="H4" s="665">
        <f>F.G.P.INCREMENTO!H7</f>
        <v>2144039.0807869802</v>
      </c>
      <c r="I4" s="665">
        <f>F.G.P.INCREMENTO!I7</f>
        <v>1225241.0256270689</v>
      </c>
      <c r="J4" s="665">
        <f>F.G.P.INCREMENTO!J7</f>
        <v>1711303.7835293359</v>
      </c>
      <c r="K4" s="665">
        <f>F.G.P.INCREMENTO!K7</f>
        <v>1102659.419363698</v>
      </c>
      <c r="L4" s="665">
        <f>F.G.P.INCREMENTO!L7</f>
        <v>243665.90634442185</v>
      </c>
      <c r="M4" s="665">
        <f>F.G.P.INCREMENTO!M7</f>
        <v>1366243.1778278416</v>
      </c>
      <c r="N4" s="665">
        <f>F.G.P.INCREMENTO!N7</f>
        <v>975932.10653903056</v>
      </c>
      <c r="O4" s="666">
        <f>SUM(C4:N4)</f>
        <v>17068883.290665355</v>
      </c>
      <c r="P4" s="667"/>
      <c r="Q4" s="667"/>
    </row>
    <row r="5" spans="1:17" x14ac:dyDescent="0.2">
      <c r="A5" s="663" t="s">
        <v>148</v>
      </c>
      <c r="B5" s="683"/>
      <c r="C5" s="665">
        <f>F.G.P.INCREMENTO!C8</f>
        <v>634546.96491125959</v>
      </c>
      <c r="D5" s="665">
        <f>F.G.P.INCREMENTO!D8</f>
        <v>1269487.7395973396</v>
      </c>
      <c r="E5" s="665">
        <f>F.G.P.INCREMENTO!E8</f>
        <v>921905.87204409868</v>
      </c>
      <c r="F5" s="665">
        <f>F.G.P.INCREMENTO!F8</f>
        <v>1626141.1456257543</v>
      </c>
      <c r="G5" s="665">
        <f>F.G.P.INCREMENTO!G8</f>
        <v>1281825.2968317091</v>
      </c>
      <c r="H5" s="665">
        <f>F.G.P.INCREMENTO!H8</f>
        <v>1481207.0803704695</v>
      </c>
      <c r="I5" s="665">
        <f>F.G.P.INCREMENTO!I8</f>
        <v>846456.4375631836</v>
      </c>
      <c r="J5" s="665">
        <f>F.G.P.INCREMENTO!J8</f>
        <v>1182252.368225497</v>
      </c>
      <c r="K5" s="665">
        <f>F.G.P.INCREMENTO!K8</f>
        <v>761771.06743744668</v>
      </c>
      <c r="L5" s="665">
        <f>F.G.P.INCREMENTO!L8</f>
        <v>168336.32789462394</v>
      </c>
      <c r="M5" s="665">
        <f>F.G.P.INCREMENTO!M8</f>
        <v>943867.62192956102</v>
      </c>
      <c r="N5" s="665">
        <f>F.G.P.INCREMENTO!N8</f>
        <v>674221.64041705814</v>
      </c>
      <c r="O5" s="666">
        <f t="shared" ref="O5:O23" si="0">SUM(C5:N5)</f>
        <v>11792019.562848004</v>
      </c>
      <c r="P5" s="667"/>
      <c r="Q5" s="667"/>
    </row>
    <row r="6" spans="1:17" x14ac:dyDescent="0.2">
      <c r="A6" s="663" t="s">
        <v>149</v>
      </c>
      <c r="B6" s="683"/>
      <c r="C6" s="665">
        <f>F.G.P.INCREMENTO!C9</f>
        <v>654857.44935109536</v>
      </c>
      <c r="D6" s="665">
        <f>F.G.P.INCREMENTO!D9</f>
        <v>1310121.3134814412</v>
      </c>
      <c r="E6" s="665">
        <f>F.G.P.INCREMENTO!E9</f>
        <v>951414.09744671092</v>
      </c>
      <c r="F6" s="665">
        <f>F.G.P.INCREMENTO!F9</f>
        <v>1678190.4284394032</v>
      </c>
      <c r="G6" s="665">
        <f>F.G.P.INCREMENTO!G9</f>
        <v>1322853.7694043091</v>
      </c>
      <c r="H6" s="665">
        <f>F.G.P.INCREMENTO!H9</f>
        <v>1528617.3352792549</v>
      </c>
      <c r="I6" s="665">
        <f>F.G.P.INCREMENTO!I9</f>
        <v>873549.68874047056</v>
      </c>
      <c r="J6" s="665">
        <f>F.G.P.INCREMENTO!J9</f>
        <v>1220093.7253773052</v>
      </c>
      <c r="K6" s="665">
        <f>F.G.P.INCREMENTO!K9</f>
        <v>786153.72194130858</v>
      </c>
      <c r="L6" s="665">
        <f>F.G.P.INCREMENTO!L9</f>
        <v>173724.41192531661</v>
      </c>
      <c r="M6" s="665">
        <f>F.G.P.INCREMENTO!M9</f>
        <v>974078.7957410157</v>
      </c>
      <c r="N6" s="665">
        <f>F.G.P.INCREMENTO!N9</f>
        <v>695802.02594235376</v>
      </c>
      <c r="O6" s="666">
        <f t="shared" si="0"/>
        <v>12169456.763069985</v>
      </c>
      <c r="P6" s="667"/>
      <c r="Q6" s="667"/>
    </row>
    <row r="7" spans="1:17" x14ac:dyDescent="0.2">
      <c r="A7" s="663" t="s">
        <v>285</v>
      </c>
      <c r="B7" s="683"/>
      <c r="C7" s="665">
        <f>F.G.P.INCREMENTO!C10</f>
        <v>2698419.6183420108</v>
      </c>
      <c r="D7" s="665">
        <f>F.G.P.INCREMENTO!D10</f>
        <v>5398513.9181198059</v>
      </c>
      <c r="E7" s="665">
        <f>F.G.P.INCREMENTO!E10</f>
        <v>3920417.2881614757</v>
      </c>
      <c r="F7" s="665">
        <f>F.G.P.INCREMENTO!F10</f>
        <v>6915187.3891057782</v>
      </c>
      <c r="G7" s="665">
        <f>F.G.P.INCREMENTO!G10</f>
        <v>5450979.5484428443</v>
      </c>
      <c r="H7" s="665">
        <f>F.G.P.INCREMENTO!H10</f>
        <v>6298853.3008864513</v>
      </c>
      <c r="I7" s="665">
        <f>F.G.P.INCREMENTO!I10</f>
        <v>3599567.5395150795</v>
      </c>
      <c r="J7" s="665">
        <f>F.G.P.INCREMENTO!J10</f>
        <v>5027544.3121804707</v>
      </c>
      <c r="K7" s="665">
        <f>F.G.P.INCREMENTO!K10</f>
        <v>3239441.8486360745</v>
      </c>
      <c r="L7" s="665">
        <f>F.G.P.INCREMENTO!L10</f>
        <v>715852.52910953853</v>
      </c>
      <c r="M7" s="665">
        <f>F.G.P.INCREMENTO!M10</f>
        <v>4013809.9289289559</v>
      </c>
      <c r="N7" s="665">
        <f>F.G.P.INCREMENTO!N10</f>
        <v>2867136.7167701339</v>
      </c>
      <c r="O7" s="666">
        <f t="shared" si="0"/>
        <v>50145723.938198619</v>
      </c>
      <c r="P7" s="667"/>
      <c r="Q7" s="667"/>
    </row>
    <row r="8" spans="1:17" x14ac:dyDescent="0.2">
      <c r="A8" s="663" t="s">
        <v>151</v>
      </c>
      <c r="B8" s="683"/>
      <c r="C8" s="665">
        <f>F.G.P.INCREMENTO!C11</f>
        <v>1803538.9829281515</v>
      </c>
      <c r="D8" s="665">
        <f>F.G.P.INCREMENTO!D11</f>
        <v>3608197.2703680592</v>
      </c>
      <c r="E8" s="665">
        <f>F.G.P.INCREMENTO!E11</f>
        <v>2620283.8730060416</v>
      </c>
      <c r="F8" s="665">
        <f>F.G.P.INCREMENTO!F11</f>
        <v>4621894.2175377682</v>
      </c>
      <c r="G8" s="665">
        <f>F.G.P.INCREMENTO!G11</f>
        <v>3643263.6510407715</v>
      </c>
      <c r="H8" s="665">
        <f>F.G.P.INCREMENTO!H11</f>
        <v>4209955.8566337572</v>
      </c>
      <c r="I8" s="665">
        <f>F.G.P.INCREMENTO!I11</f>
        <v>2405837.9708887036</v>
      </c>
      <c r="J8" s="665">
        <f>F.G.P.INCREMENTO!J11</f>
        <v>3360252.8286491781</v>
      </c>
      <c r="K8" s="665">
        <f>F.G.P.INCREMENTO!K11</f>
        <v>2165141.2616595845</v>
      </c>
      <c r="L8" s="665">
        <f>F.G.P.INCREMENTO!L11</f>
        <v>478453.36340610817</v>
      </c>
      <c r="M8" s="665">
        <f>F.G.P.INCREMENTO!M11</f>
        <v>2682704.5829645051</v>
      </c>
      <c r="N8" s="665">
        <f>F.G.P.INCREMENTO!N11</f>
        <v>1916304.1963268775</v>
      </c>
      <c r="O8" s="666">
        <f t="shared" si="0"/>
        <v>33515828.055409506</v>
      </c>
      <c r="P8" s="667"/>
      <c r="Q8" s="667"/>
    </row>
    <row r="9" spans="1:17" x14ac:dyDescent="0.2">
      <c r="A9" s="663" t="s">
        <v>286</v>
      </c>
      <c r="B9" s="683"/>
      <c r="C9" s="665">
        <f>F.G.P.INCREMENTO!C12</f>
        <v>966585.35311545385</v>
      </c>
      <c r="D9" s="665">
        <f>F.G.P.INCREMENTO!D12</f>
        <v>1933770.5842246637</v>
      </c>
      <c r="E9" s="665">
        <f>F.G.P.INCREMENTO!E12</f>
        <v>1404310.10176461</v>
      </c>
      <c r="F9" s="665">
        <f>F.G.P.INCREMENTO!F12</f>
        <v>2477049.4547713306</v>
      </c>
      <c r="G9" s="665">
        <f>F.G.P.INCREMENTO!G12</f>
        <v>1952563.9955486509</v>
      </c>
      <c r="H9" s="665">
        <f>F.G.P.INCREMENTO!H12</f>
        <v>2256275.970080833</v>
      </c>
      <c r="I9" s="665">
        <f>F.G.P.INCREMENTO!I12</f>
        <v>1289380.3608583629</v>
      </c>
      <c r="J9" s="665">
        <f>F.G.P.INCREMENTO!J12</f>
        <v>1800887.6978438229</v>
      </c>
      <c r="K9" s="665">
        <f>F.G.P.INCREMENTO!K12</f>
        <v>1160381.8108485215</v>
      </c>
      <c r="L9" s="665">
        <f>F.G.P.INCREMENTO!L12</f>
        <v>256421.41234248728</v>
      </c>
      <c r="M9" s="665">
        <f>F.G.P.INCREMENTO!M12</f>
        <v>1437763.7418289694</v>
      </c>
      <c r="N9" s="665">
        <f>F.G.P.INCREMENTO!N12</f>
        <v>1027020.5334159007</v>
      </c>
      <c r="O9" s="666">
        <f t="shared" si="0"/>
        <v>17962411.01664361</v>
      </c>
      <c r="P9" s="667"/>
      <c r="Q9" s="667"/>
    </row>
    <row r="10" spans="1:17" x14ac:dyDescent="0.2">
      <c r="A10" s="663" t="s">
        <v>153</v>
      </c>
      <c r="B10" s="683"/>
      <c r="C10" s="665">
        <f>F.G.P.INCREMENTO!C13</f>
        <v>696447.50259703561</v>
      </c>
      <c r="D10" s="665">
        <f>F.G.P.INCREMENTO!D13</f>
        <v>1393327.2314111018</v>
      </c>
      <c r="E10" s="665">
        <f>F.G.P.INCREMENTO!E13</f>
        <v>1011838.4890619494</v>
      </c>
      <c r="F10" s="665">
        <f>F.G.P.INCREMENTO!F13</f>
        <v>1784772.4476937973</v>
      </c>
      <c r="G10" s="665">
        <f>F.G.P.INCREMENTO!G13</f>
        <v>1406868.3267108425</v>
      </c>
      <c r="H10" s="665">
        <f>F.G.P.INCREMENTO!H13</f>
        <v>1625699.9544506925</v>
      </c>
      <c r="I10" s="665">
        <f>F.G.P.INCREMENTO!I13</f>
        <v>929028.90502439823</v>
      </c>
      <c r="J10" s="665">
        <f>F.G.P.INCREMENTO!J13</f>
        <v>1297581.9834001195</v>
      </c>
      <c r="K10" s="665">
        <f>F.G.P.INCREMENTO!K13</f>
        <v>836082.41281507339</v>
      </c>
      <c r="L10" s="665">
        <f>F.G.P.INCREMENTO!L13</f>
        <v>184757.66435186088</v>
      </c>
      <c r="M10" s="665">
        <f>F.G.P.INCREMENTO!M13</f>
        <v>1035942.6243051619</v>
      </c>
      <c r="N10" s="665">
        <f>F.G.P.INCREMENTO!N13</f>
        <v>739992.47278884053</v>
      </c>
      <c r="O10" s="666">
        <f t="shared" si="0"/>
        <v>12942340.014610874</v>
      </c>
      <c r="P10" s="667"/>
      <c r="Q10" s="667"/>
    </row>
    <row r="11" spans="1:17" x14ac:dyDescent="0.2">
      <c r="A11" s="663" t="s">
        <v>154</v>
      </c>
      <c r="B11" s="683"/>
      <c r="C11" s="665">
        <f>F.G.P.INCREMENTO!C14</f>
        <v>838581.49036616471</v>
      </c>
      <c r="D11" s="665">
        <f>F.G.P.INCREMENTO!D14</f>
        <v>1677683.4175260596</v>
      </c>
      <c r="E11" s="665">
        <f>F.G.P.INCREMENTO!E14</f>
        <v>1218338.8195138162</v>
      </c>
      <c r="F11" s="665">
        <f>F.G.P.INCREMENTO!F14</f>
        <v>2149016.4492951157</v>
      </c>
      <c r="G11" s="665">
        <f>F.G.P.INCREMENTO!G14</f>
        <v>1693988.037522977</v>
      </c>
      <c r="H11" s="665">
        <f>F.G.P.INCREMENTO!H14</f>
        <v>1957479.7606536362</v>
      </c>
      <c r="I11" s="665">
        <f>F.G.P.INCREMENTO!I14</f>
        <v>1118629.1010643104</v>
      </c>
      <c r="J11" s="665">
        <f>F.G.P.INCREMENTO!J14</f>
        <v>1562398.0694228248</v>
      </c>
      <c r="K11" s="665">
        <f>F.G.P.INCREMENTO!K14</f>
        <v>1006713.6908279979</v>
      </c>
      <c r="L11" s="665">
        <f>F.G.P.INCREMENTO!L14</f>
        <v>222463.79942638709</v>
      </c>
      <c r="M11" s="665">
        <f>F.G.P.INCREMENTO!M14</f>
        <v>1247362.2298654448</v>
      </c>
      <c r="N11" s="665">
        <f>F.G.P.INCREMENTO!N14</f>
        <v>891013.3044874398</v>
      </c>
      <c r="O11" s="666">
        <f t="shared" si="0"/>
        <v>15583668.169972174</v>
      </c>
      <c r="P11" s="667"/>
      <c r="Q11" s="667"/>
    </row>
    <row r="12" spans="1:17" x14ac:dyDescent="0.2">
      <c r="A12" s="663" t="s">
        <v>155</v>
      </c>
      <c r="B12" s="683"/>
      <c r="C12" s="665">
        <f>F.G.P.INCREMENTO!C15</f>
        <v>808348.26877135481</v>
      </c>
      <c r="D12" s="665">
        <f>F.G.P.INCREMENTO!D15</f>
        <v>1617198.2111260761</v>
      </c>
      <c r="E12" s="665">
        <f>F.G.P.INCREMENTO!E15</f>
        <v>1174414.2779742258</v>
      </c>
      <c r="F12" s="665">
        <f>F.G.P.INCREMENTO!F15</f>
        <v>2071538.3612752373</v>
      </c>
      <c r="G12" s="665">
        <f>F.G.P.INCREMENTO!G15</f>
        <v>1632915.0037084257</v>
      </c>
      <c r="H12" s="665">
        <f>F.G.P.INCREMENTO!H15</f>
        <v>1886907.1090376845</v>
      </c>
      <c r="I12" s="665">
        <f>F.G.P.INCREMENTO!I15</f>
        <v>1078299.3753508166</v>
      </c>
      <c r="J12" s="665">
        <f>F.G.P.INCREMENTO!J15</f>
        <v>1506069.2241110378</v>
      </c>
      <c r="K12" s="665">
        <f>F.G.P.INCREMENTO!K15</f>
        <v>970418.83046321454</v>
      </c>
      <c r="L12" s="665">
        <f>F.G.P.INCREMENTO!L15</f>
        <v>214443.35368301097</v>
      </c>
      <c r="M12" s="665">
        <f>F.G.P.INCREMENTO!M15</f>
        <v>1202391.3127419921</v>
      </c>
      <c r="N12" s="665">
        <f>F.G.P.INCREMENTO!N15</f>
        <v>858889.76850678027</v>
      </c>
      <c r="O12" s="666">
        <f t="shared" si="0"/>
        <v>15021833.096749857</v>
      </c>
      <c r="P12" s="667"/>
      <c r="Q12" s="667"/>
    </row>
    <row r="13" spans="1:17" x14ac:dyDescent="0.2">
      <c r="A13" s="663" t="s">
        <v>156</v>
      </c>
      <c r="B13" s="683"/>
      <c r="C13" s="665">
        <f>F.G.P.INCREMENTO!C16</f>
        <v>600694.99919192272</v>
      </c>
      <c r="D13" s="665">
        <f>F.G.P.INCREMENTO!D16</f>
        <v>1201762.7990990777</v>
      </c>
      <c r="E13" s="665">
        <f>F.G.P.INCREMENTO!E16</f>
        <v>872723.81350055698</v>
      </c>
      <c r="F13" s="665">
        <f>F.G.P.INCREMENTO!F16</f>
        <v>1539389.3725332383</v>
      </c>
      <c r="G13" s="665">
        <f>F.G.P.INCREMENTO!G16</f>
        <v>1213442.1693312973</v>
      </c>
      <c r="H13" s="665">
        <f>F.G.P.INCREMENTO!H16</f>
        <v>1402187.2850193838</v>
      </c>
      <c r="I13" s="665">
        <f>F.G.P.INCREMENTO!I16</f>
        <v>801299.47378933872</v>
      </c>
      <c r="J13" s="665">
        <f>F.G.P.INCREMENTO!J16</f>
        <v>1119181.2815229211</v>
      </c>
      <c r="K13" s="665">
        <f>F.G.P.INCREMENTO!K16</f>
        <v>721131.91937299806</v>
      </c>
      <c r="L13" s="665">
        <f>F.G.P.INCREMENTO!L16</f>
        <v>159355.88055767262</v>
      </c>
      <c r="M13" s="665">
        <f>F.G.P.INCREMENTO!M16</f>
        <v>893513.94261502835</v>
      </c>
      <c r="N13" s="665">
        <f>F.G.P.INCREMENTO!N16</f>
        <v>638253.10046536941</v>
      </c>
      <c r="O13" s="666">
        <f t="shared" si="0"/>
        <v>11162936.036998805</v>
      </c>
      <c r="P13" s="667"/>
      <c r="Q13" s="667"/>
    </row>
    <row r="14" spans="1:17" x14ac:dyDescent="0.2">
      <c r="A14" s="663" t="s">
        <v>157</v>
      </c>
      <c r="B14" s="683"/>
      <c r="C14" s="665">
        <f>F.G.P.INCREMENTO!C17</f>
        <v>900678.55317223654</v>
      </c>
      <c r="D14" s="665">
        <f>F.G.P.INCREMENTO!D17</f>
        <v>1801916.0815469781</v>
      </c>
      <c r="E14" s="665">
        <f>F.G.P.INCREMENTO!E17</f>
        <v>1308556.9593887972</v>
      </c>
      <c r="F14" s="665">
        <f>F.G.P.INCREMENTO!F17</f>
        <v>2308151.3824605145</v>
      </c>
      <c r="G14" s="665">
        <f>F.G.P.INCREMENTO!G17</f>
        <v>1819428.0606659474</v>
      </c>
      <c r="H14" s="665">
        <f>F.G.P.INCREMENTO!H17</f>
        <v>2102431.3783978424</v>
      </c>
      <c r="I14" s="665">
        <f>F.G.P.INCREMENTO!I17</f>
        <v>1201463.7239882662</v>
      </c>
      <c r="J14" s="665">
        <f>F.G.P.INCREMENTO!J17</f>
        <v>1678093.8391955046</v>
      </c>
      <c r="K14" s="665">
        <f>F.G.P.INCREMENTO!K17</f>
        <v>1081260.9638184642</v>
      </c>
      <c r="L14" s="665">
        <f>F.G.P.INCREMENTO!L17</f>
        <v>238937.27121626132</v>
      </c>
      <c r="M14" s="665">
        <f>F.G.P.INCREMENTO!M17</f>
        <v>1339729.5568571896</v>
      </c>
      <c r="N14" s="665">
        <f>F.G.P.INCREMENTO!N17</f>
        <v>956992.94959699584</v>
      </c>
      <c r="O14" s="666">
        <f t="shared" si="0"/>
        <v>16737640.720304998</v>
      </c>
      <c r="P14" s="667"/>
      <c r="Q14" s="667"/>
    </row>
    <row r="15" spans="1:17" x14ac:dyDescent="0.2">
      <c r="A15" s="663" t="s">
        <v>158</v>
      </c>
      <c r="B15" s="683"/>
      <c r="C15" s="665">
        <f>F.G.P.INCREMENTO!C18</f>
        <v>860931.5429990082</v>
      </c>
      <c r="D15" s="665">
        <f>F.G.P.INCREMENTO!D18</f>
        <v>1722397.3935841089</v>
      </c>
      <c r="E15" s="665">
        <f>F.G.P.INCREMENTO!E18</f>
        <v>1250810.2454319822</v>
      </c>
      <c r="F15" s="665">
        <f>F.G.P.INCREMENTO!F18</f>
        <v>2206292.4937849836</v>
      </c>
      <c r="G15" s="665">
        <f>F.G.P.INCREMENTO!G18</f>
        <v>1739136.5677886687</v>
      </c>
      <c r="H15" s="665">
        <f>F.G.P.INCREMENTO!H18</f>
        <v>2009650.9284899679</v>
      </c>
      <c r="I15" s="665">
        <f>F.G.P.INCREMENTO!I18</f>
        <v>1148443.0423122873</v>
      </c>
      <c r="J15" s="665">
        <f>F.G.P.INCREMENTO!J18</f>
        <v>1604039.4358090602</v>
      </c>
      <c r="K15" s="665">
        <f>F.G.P.INCREMENTO!K18</f>
        <v>1033544.8387065243</v>
      </c>
      <c r="L15" s="665">
        <f>F.G.P.INCREMENTO!L18</f>
        <v>228392.95202896959</v>
      </c>
      <c r="M15" s="665">
        <f>F.G.P.INCREMENTO!M18</f>
        <v>1280607.1939029177</v>
      </c>
      <c r="N15" s="665">
        <f>F.G.P.INCREMENTO!N18</f>
        <v>914760.7810065822</v>
      </c>
      <c r="O15" s="666">
        <f t="shared" si="0"/>
        <v>15999007.415845061</v>
      </c>
      <c r="P15" s="667"/>
      <c r="Q15" s="667"/>
    </row>
    <row r="16" spans="1:17" x14ac:dyDescent="0.2">
      <c r="A16" s="663" t="s">
        <v>159</v>
      </c>
      <c r="B16" s="683"/>
      <c r="C16" s="665">
        <f>F.G.P.INCREMENTO!C19</f>
        <v>892903.71915329585</v>
      </c>
      <c r="D16" s="665">
        <f>F.G.P.INCREMENTO!D19</f>
        <v>1786361.588325456</v>
      </c>
      <c r="E16" s="665">
        <f>F.G.P.INCREMENTO!E19</f>
        <v>1297261.238925881</v>
      </c>
      <c r="F16" s="665">
        <f>F.G.P.INCREMENTO!F19</f>
        <v>2288226.9667785671</v>
      </c>
      <c r="G16" s="665">
        <f>F.G.P.INCREMENTO!G19</f>
        <v>1803722.4006041435</v>
      </c>
      <c r="H16" s="665">
        <f>F.G.P.INCREMENTO!H19</f>
        <v>2084282.778161183</v>
      </c>
      <c r="I16" s="665">
        <f>F.G.P.INCREMENTO!I19</f>
        <v>1191092.453349161</v>
      </c>
      <c r="J16" s="665">
        <f>F.G.P.INCREMENTO!J19</f>
        <v>1663608.2038686723</v>
      </c>
      <c r="K16" s="665">
        <f>F.G.P.INCREMENTO!K19</f>
        <v>1071927.3069935737</v>
      </c>
      <c r="L16" s="665">
        <f>F.G.P.INCREMENTO!L19</f>
        <v>236874.71780239115</v>
      </c>
      <c r="M16" s="665">
        <f>F.G.P.INCREMENTO!M19</f>
        <v>1328164.7484156571</v>
      </c>
      <c r="N16" s="665">
        <f>F.G.P.INCREMENTO!N19</f>
        <v>948731.99865705462</v>
      </c>
      <c r="O16" s="666">
        <f t="shared" si="0"/>
        <v>16593158.121035036</v>
      </c>
      <c r="P16" s="667"/>
      <c r="Q16" s="667"/>
    </row>
    <row r="17" spans="1:20" x14ac:dyDescent="0.2">
      <c r="A17" s="663" t="s">
        <v>287</v>
      </c>
      <c r="B17" s="683"/>
      <c r="C17" s="665">
        <f>F.G.P.INCREMENTO!C20</f>
        <v>675360.93169570598</v>
      </c>
      <c r="D17" s="665">
        <f>F.G.P.INCREMENTO!D20</f>
        <v>1351141.0029526115</v>
      </c>
      <c r="E17" s="665">
        <f>F.G.P.INCREMENTO!E20</f>
        <v>981202.72116740327</v>
      </c>
      <c r="F17" s="665">
        <f>F.G.P.INCREMENTO!F20</f>
        <v>1730734.303223904</v>
      </c>
      <c r="G17" s="665">
        <f>F.G.P.INCREMENTO!G20</f>
        <v>1364272.110040671</v>
      </c>
      <c r="H17" s="665">
        <f>F.G.P.INCREMENTO!H20</f>
        <v>1576478.100361214</v>
      </c>
      <c r="I17" s="665">
        <f>F.G.P.INCREMENTO!I20</f>
        <v>900900.39023738145</v>
      </c>
      <c r="J17" s="665">
        <f>F.G.P.INCREMENTO!J20</f>
        <v>1258294.665416748</v>
      </c>
      <c r="K17" s="665">
        <f>F.G.P.INCREMENTO!K20</f>
        <v>810768.0696500286</v>
      </c>
      <c r="L17" s="665">
        <f>F.G.P.INCREMENTO!L20</f>
        <v>179163.69556829595</v>
      </c>
      <c r="M17" s="665">
        <f>F.G.P.INCREMENTO!M20</f>
        <v>1004577.0475521935</v>
      </c>
      <c r="N17" s="665">
        <f>F.G.P.INCREMENTO!N20</f>
        <v>717587.47645282734</v>
      </c>
      <c r="O17" s="666">
        <f t="shared" si="0"/>
        <v>12550480.514318984</v>
      </c>
      <c r="P17" s="667"/>
      <c r="Q17" s="667"/>
    </row>
    <row r="18" spans="1:20" x14ac:dyDescent="0.2">
      <c r="A18" s="663" t="s">
        <v>288</v>
      </c>
      <c r="B18" s="683"/>
      <c r="C18" s="665">
        <f>F.G.P.INCREMENTO!C21</f>
        <v>689071.84337207931</v>
      </c>
      <c r="D18" s="665">
        <f>F.G.P.INCREMENTO!D21</f>
        <v>1378571.3355116714</v>
      </c>
      <c r="E18" s="665">
        <f>F.G.P.INCREMENTO!E21</f>
        <v>1001122.7124123292</v>
      </c>
      <c r="F18" s="665">
        <f>F.G.P.INCREMENTO!F21</f>
        <v>1765870.9894802307</v>
      </c>
      <c r="G18" s="665">
        <f>F.G.P.INCREMENTO!G21</f>
        <v>1391969.0251647681</v>
      </c>
      <c r="H18" s="665">
        <f>F.G.P.INCREMENTO!H21</f>
        <v>1608483.1379335213</v>
      </c>
      <c r="I18" s="665">
        <f>F.G.P.INCREMENTO!I21</f>
        <v>919190.11518303538</v>
      </c>
      <c r="J18" s="665">
        <f>F.G.P.INCREMENTO!J21</f>
        <v>1283840.0681942869</v>
      </c>
      <c r="K18" s="665">
        <f>F.G.P.INCREMENTO!K21</f>
        <v>827227.96371746319</v>
      </c>
      <c r="L18" s="665">
        <f>F.G.P.INCREMENTO!L21</f>
        <v>182801.00636058848</v>
      </c>
      <c r="M18" s="665">
        <f>F.G.P.INCREMENTO!M21</f>
        <v>1024971.5751665123</v>
      </c>
      <c r="N18" s="665">
        <f>F.G.P.INCREMENTO!N21</f>
        <v>732155.65481193527</v>
      </c>
      <c r="O18" s="666">
        <f t="shared" si="0"/>
        <v>12805275.427308422</v>
      </c>
      <c r="P18" s="667"/>
      <c r="Q18" s="667"/>
    </row>
    <row r="19" spans="1:20" x14ac:dyDescent="0.2">
      <c r="A19" s="663" t="s">
        <v>289</v>
      </c>
      <c r="B19" s="683"/>
      <c r="C19" s="665">
        <f>F.G.P.INCREMENTO!C22</f>
        <v>1586923.9246886743</v>
      </c>
      <c r="D19" s="665">
        <f>F.G.P.INCREMENTO!D22</f>
        <v>3174832.7191947084</v>
      </c>
      <c r="E19" s="665">
        <f>F.G.P.INCREMENTO!E22</f>
        <v>2305573.2129494199</v>
      </c>
      <c r="F19" s="665">
        <f>F.G.P.INCREMENTO!F22</f>
        <v>4066779.0275776456</v>
      </c>
      <c r="G19" s="665">
        <f>F.G.P.INCREMENTO!G22</f>
        <v>3205687.4326045732</v>
      </c>
      <c r="H19" s="665">
        <f>F.G.P.INCREMENTO!H22</f>
        <v>3704316.7539015491</v>
      </c>
      <c r="I19" s="665">
        <f>F.G.P.INCREMENTO!I22</f>
        <v>2116883.4558425695</v>
      </c>
      <c r="J19" s="665">
        <f>F.G.P.INCREMENTO!J22</f>
        <v>2956667.7833204372</v>
      </c>
      <c r="K19" s="665">
        <f>F.G.P.INCREMENTO!K22</f>
        <v>1905095.7594938185</v>
      </c>
      <c r="L19" s="665">
        <f>F.G.P.INCREMENTO!L22</f>
        <v>420988.4546017407</v>
      </c>
      <c r="M19" s="665">
        <f>F.G.P.INCREMENTO!M22</f>
        <v>2360496.8486272655</v>
      </c>
      <c r="N19" s="665">
        <f>F.G.P.INCREMENTO!N22</f>
        <v>1686145.4090640917</v>
      </c>
      <c r="O19" s="666">
        <f t="shared" si="0"/>
        <v>29490390.781866495</v>
      </c>
      <c r="P19" s="667"/>
      <c r="Q19" s="667"/>
    </row>
    <row r="20" spans="1:20" x14ac:dyDescent="0.2">
      <c r="A20" s="663" t="s">
        <v>163</v>
      </c>
      <c r="B20" s="683"/>
      <c r="C20" s="665">
        <f>F.G.P.INCREMENTO!C23</f>
        <v>952616.13300270541</v>
      </c>
      <c r="D20" s="665">
        <f>F.G.P.INCREMENTO!D23</f>
        <v>1905823.4744825966</v>
      </c>
      <c r="E20" s="665">
        <f>F.G.P.INCREMENTO!E23</f>
        <v>1384014.825351744</v>
      </c>
      <c r="F20" s="665">
        <f>F.G.P.INCREMENTO!F23</f>
        <v>2441250.8065171079</v>
      </c>
      <c r="G20" s="665">
        <f>F.G.P.INCREMENTO!G23</f>
        <v>1924345.2809259512</v>
      </c>
      <c r="H20" s="665">
        <f>F.G.P.INCREMENTO!H23</f>
        <v>2223667.9695979212</v>
      </c>
      <c r="I20" s="665">
        <f>F.G.P.INCREMENTO!I23</f>
        <v>1270746.0643507331</v>
      </c>
      <c r="J20" s="665">
        <f>F.G.P.INCREMENTO!J23</f>
        <v>1774861.0292537848</v>
      </c>
      <c r="K20" s="665">
        <f>F.G.P.INCREMENTO!K23</f>
        <v>1143611.8185469348</v>
      </c>
      <c r="L20" s="665">
        <f>F.G.P.INCREMENTO!L23</f>
        <v>252715.57597833313</v>
      </c>
      <c r="M20" s="665">
        <f>F.G.P.INCREMENTO!M23</f>
        <v>1416984.9889593935</v>
      </c>
      <c r="N20" s="665">
        <f>F.G.P.INCREMENTO!N23</f>
        <v>1012177.8960374659</v>
      </c>
      <c r="O20" s="666">
        <f t="shared" si="0"/>
        <v>17702815.863004673</v>
      </c>
      <c r="P20" s="667"/>
      <c r="Q20" s="667"/>
    </row>
    <row r="21" spans="1:20" x14ac:dyDescent="0.2">
      <c r="A21" s="663" t="s">
        <v>164</v>
      </c>
      <c r="B21" s="683"/>
      <c r="C21" s="665">
        <f>F.G.P.INCREMENTO!C24</f>
        <v>5588357.8585621547</v>
      </c>
      <c r="D21" s="665">
        <f>F.G.P.INCREMENTO!D24</f>
        <v>11180183.939449199</v>
      </c>
      <c r="E21" s="665">
        <f>F.G.P.INCREMENTO!E24</f>
        <v>8119083.7081897091</v>
      </c>
      <c r="F21" s="665">
        <f>F.G.P.INCREMENTO!F24</f>
        <v>14321175.819601968</v>
      </c>
      <c r="G21" s="665">
        <f>F.G.P.INCREMENTO!G24</f>
        <v>11288838.914949382</v>
      </c>
      <c r="H21" s="665">
        <f>F.G.P.INCREMENTO!H24</f>
        <v>13044763.721947381</v>
      </c>
      <c r="I21" s="665">
        <f>F.G.P.INCREMENTO!I24</f>
        <v>7454612.1033740472</v>
      </c>
      <c r="J21" s="665">
        <f>F.G.P.INCREMENTO!J24</f>
        <v>10411915.394947372</v>
      </c>
      <c r="K21" s="665">
        <f>F.G.P.INCREMENTO!K24</f>
        <v>6708801.0289903097</v>
      </c>
      <c r="L21" s="665">
        <f>F.G.P.INCREMENTO!L24</f>
        <v>1482512.2376922504</v>
      </c>
      <c r="M21" s="665">
        <f>F.G.P.INCREMENTO!M24</f>
        <v>8312497.473201355</v>
      </c>
      <c r="N21" s="665">
        <f>F.G.P.INCREMENTO!N24</f>
        <v>5937766.6445292244</v>
      </c>
      <c r="O21" s="666">
        <f t="shared" si="0"/>
        <v>103850508.84543435</v>
      </c>
      <c r="P21" s="667"/>
      <c r="Q21" s="667"/>
      <c r="T21" s="667"/>
    </row>
    <row r="22" spans="1:20" x14ac:dyDescent="0.2">
      <c r="A22" s="663" t="s">
        <v>165</v>
      </c>
      <c r="B22" s="683"/>
      <c r="C22" s="665">
        <f>F.G.P.INCREMENTO!C25</f>
        <v>899741.57769026875</v>
      </c>
      <c r="D22" s="665">
        <f>F.G.P.INCREMENTO!D25</f>
        <v>1800041.5490813979</v>
      </c>
      <c r="E22" s="665">
        <f>F.G.P.INCREMENTO!E25</f>
        <v>1307195.6681896371</v>
      </c>
      <c r="F22" s="665">
        <f>F.G.P.INCREMENTO!F25</f>
        <v>2305750.2136457153</v>
      </c>
      <c r="G22" s="665">
        <f>F.G.P.INCREMENTO!G25</f>
        <v>1817535.3104965957</v>
      </c>
      <c r="H22" s="665">
        <f>F.G.P.INCREMENTO!H25</f>
        <v>2100244.2200080482</v>
      </c>
      <c r="I22" s="665">
        <f>F.G.P.INCREMENTO!I25</f>
        <v>1200213.841832323</v>
      </c>
      <c r="J22" s="665">
        <f>F.G.P.INCREMENTO!J25</f>
        <v>1676348.118951329</v>
      </c>
      <c r="K22" s="665">
        <f>F.G.P.INCREMENTO!K25</f>
        <v>1080136.1285382872</v>
      </c>
      <c r="L22" s="665">
        <f>F.G.P.INCREMENTO!L25</f>
        <v>238688.70488361199</v>
      </c>
      <c r="M22" s="665">
        <f>F.G.P.INCREMENTO!M25</f>
        <v>1338335.8368193121</v>
      </c>
      <c r="N22" s="665">
        <f>F.G.P.INCREMENTO!N25</f>
        <v>955997.39027449349</v>
      </c>
      <c r="O22" s="666">
        <f t="shared" si="0"/>
        <v>16720228.560411021</v>
      </c>
      <c r="P22" s="667"/>
      <c r="Q22" s="667"/>
      <c r="T22" s="667"/>
    </row>
    <row r="23" spans="1:20" ht="13.5" thickBot="1" x14ac:dyDescent="0.25">
      <c r="A23" s="663" t="s">
        <v>166</v>
      </c>
      <c r="B23" s="683"/>
      <c r="C23" s="665">
        <f>F.G.P.INCREMENTO!C26</f>
        <v>1291422.0076297177</v>
      </c>
      <c r="D23" s="665">
        <f>F.G.P.INCREMENTO!D26</f>
        <v>2583645.4919635179</v>
      </c>
      <c r="E23" s="665">
        <f>F.G.P.INCREMENTO!E26</f>
        <v>1876251.2437315255</v>
      </c>
      <c r="F23" s="665">
        <f>F.G.P.INCREMENTO!F26</f>
        <v>3309502.0212837793</v>
      </c>
      <c r="G23" s="665">
        <f>F.G.P.INCREMENTO!G26</f>
        <v>2608754.7333812658</v>
      </c>
      <c r="H23" s="665">
        <f>F.G.P.INCREMENTO!H26</f>
        <v>3014534.0332923899</v>
      </c>
      <c r="I23" s="665">
        <f>F.G.P.INCREMENTO!I26</f>
        <v>1722697.5029686231</v>
      </c>
      <c r="J23" s="665">
        <f>F.G.P.INCREMENTO!J26</f>
        <v>2406105.1605727528</v>
      </c>
      <c r="K23" s="665">
        <f>F.G.P.INCREMENTO!K26</f>
        <v>1550346.9020640242</v>
      </c>
      <c r="L23" s="665">
        <f>F.G.P.INCREMENTO!L26</f>
        <v>342595.97878163646</v>
      </c>
      <c r="M23" s="665">
        <f>F.G.P.INCREMENTO!M26</f>
        <v>1920947.5210702908</v>
      </c>
      <c r="N23" s="665">
        <f>F.G.P.INCREMENTO!N26</f>
        <v>1372167.4085645739</v>
      </c>
      <c r="O23" s="666">
        <f t="shared" si="0"/>
        <v>23998970.005304098</v>
      </c>
      <c r="P23" s="667"/>
      <c r="Q23" s="667"/>
      <c r="T23" s="667"/>
    </row>
    <row r="24" spans="1:20" ht="13.5" thickBot="1" x14ac:dyDescent="0.25">
      <c r="A24" s="668" t="s">
        <v>290</v>
      </c>
      <c r="B24" s="684">
        <f>SUM(B4:B23)</f>
        <v>0</v>
      </c>
      <c r="C24" s="670">
        <f>SUM(C4:C23)</f>
        <v>24958531.954068884</v>
      </c>
      <c r="D24" s="670">
        <f t="shared" ref="D24:N24" si="1">SUM(D4:D23)</f>
        <v>49932553.563580453</v>
      </c>
      <c r="E24" s="670">
        <f t="shared" si="1"/>
        <v>36261172.834187627</v>
      </c>
      <c r="F24" s="670">
        <f t="shared" si="1"/>
        <v>63960743.631643504</v>
      </c>
      <c r="G24" s="670">
        <f t="shared" si="1"/>
        <v>50417824.683760218</v>
      </c>
      <c r="H24" s="670">
        <f t="shared" si="1"/>
        <v>58260075.755290158</v>
      </c>
      <c r="I24" s="670">
        <f t="shared" si="1"/>
        <v>33293532.571860157</v>
      </c>
      <c r="J24" s="670">
        <f t="shared" si="1"/>
        <v>46501338.973792464</v>
      </c>
      <c r="K24" s="670">
        <f t="shared" si="1"/>
        <v>29962616.763885345</v>
      </c>
      <c r="L24" s="670">
        <f t="shared" si="1"/>
        <v>6621145.2439555069</v>
      </c>
      <c r="M24" s="670">
        <f t="shared" si="1"/>
        <v>37124990.749320567</v>
      </c>
      <c r="N24" s="670">
        <f t="shared" si="1"/>
        <v>26519049.474655032</v>
      </c>
      <c r="O24" s="670">
        <f>SUM(C24:N24)</f>
        <v>463813576.19999981</v>
      </c>
      <c r="P24" s="667"/>
      <c r="Q24" s="667"/>
      <c r="T24" s="667"/>
    </row>
    <row r="25" spans="1:20" x14ac:dyDescent="0.2">
      <c r="A25" s="671"/>
      <c r="B25" s="671"/>
      <c r="C25" s="671"/>
      <c r="D25" s="671"/>
      <c r="E25" s="671"/>
      <c r="F25" s="671"/>
      <c r="G25" s="671"/>
      <c r="H25" s="671"/>
      <c r="I25" s="671"/>
      <c r="J25" s="671"/>
      <c r="K25" s="671"/>
      <c r="L25" s="671"/>
      <c r="M25" s="671"/>
      <c r="N25" s="671"/>
      <c r="O25" s="671"/>
      <c r="T25" s="667"/>
    </row>
    <row r="26" spans="1:20" x14ac:dyDescent="0.2">
      <c r="A26" s="672" t="s">
        <v>291</v>
      </c>
    </row>
  </sheetData>
  <mergeCells count="1">
    <mergeCell ref="A1:O1"/>
  </mergeCells>
  <printOptions horizontalCentered="1"/>
  <pageMargins left="0.70866141732283472" right="0.47244094488188981" top="0.98425196850393704" bottom="0.98425196850393704" header="0" footer="0"/>
  <pageSetup paperSize="5"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tabColor theme="5" tint="0.59999389629810485"/>
  </sheetPr>
  <dimension ref="A1:O29"/>
  <sheetViews>
    <sheetView workbookViewId="0">
      <selection activeCell="D4" sqref="D4"/>
    </sheetView>
  </sheetViews>
  <sheetFormatPr baseColWidth="10" defaultRowHeight="12.75" x14ac:dyDescent="0.2"/>
  <cols>
    <col min="1" max="1" width="16" style="658" customWidth="1"/>
    <col min="2" max="2" width="9.28515625" style="658" hidden="1" customWidth="1"/>
    <col min="3" max="10" width="8.7109375" style="658" bestFit="1" customWidth="1"/>
    <col min="11" max="11" width="9.7109375" style="658" bestFit="1" customWidth="1"/>
    <col min="12" max="12" width="8.7109375" style="658" bestFit="1" customWidth="1"/>
    <col min="13" max="13" width="9.42578125" style="658" bestFit="1" customWidth="1"/>
    <col min="14" max="14" width="8.7109375" style="658" bestFit="1" customWidth="1"/>
    <col min="15" max="15" width="13.7109375" style="658" bestFit="1" customWidth="1"/>
    <col min="16" max="16384" width="11.42578125" style="658"/>
  </cols>
  <sheetData>
    <row r="1" spans="1:15" x14ac:dyDescent="0.2">
      <c r="A1" s="1021" t="s">
        <v>433</v>
      </c>
      <c r="B1" s="1021"/>
      <c r="C1" s="1021"/>
      <c r="D1" s="1021"/>
      <c r="E1" s="1021"/>
      <c r="F1" s="1021"/>
      <c r="G1" s="1021"/>
      <c r="H1" s="1021"/>
      <c r="I1" s="1021"/>
      <c r="J1" s="1021"/>
      <c r="K1" s="1021"/>
      <c r="L1" s="1021"/>
      <c r="M1" s="1021"/>
      <c r="N1" s="1021"/>
      <c r="O1" s="1021"/>
    </row>
    <row r="2" spans="1:15" ht="13.5" thickBot="1" x14ac:dyDescent="0.25"/>
    <row r="3" spans="1:15" ht="23.25" thickBot="1" x14ac:dyDescent="0.25">
      <c r="A3" s="659" t="s">
        <v>351</v>
      </c>
      <c r="B3" s="660" t="s">
        <v>283</v>
      </c>
      <c r="C3" s="659" t="s">
        <v>1</v>
      </c>
      <c r="D3" s="661" t="s">
        <v>2</v>
      </c>
      <c r="E3" s="659" t="s">
        <v>3</v>
      </c>
      <c r="F3" s="661" t="s">
        <v>4</v>
      </c>
      <c r="G3" s="659" t="s">
        <v>5</v>
      </c>
      <c r="H3" s="659" t="s">
        <v>6</v>
      </c>
      <c r="I3" s="659" t="s">
        <v>7</v>
      </c>
      <c r="J3" s="661" t="s">
        <v>8</v>
      </c>
      <c r="K3" s="659" t="s">
        <v>9</v>
      </c>
      <c r="L3" s="661" t="s">
        <v>10</v>
      </c>
      <c r="M3" s="659" t="s">
        <v>11</v>
      </c>
      <c r="N3" s="659" t="s">
        <v>12</v>
      </c>
      <c r="O3" s="662" t="s">
        <v>169</v>
      </c>
    </row>
    <row r="4" spans="1:15" ht="12.75" customHeight="1" x14ac:dyDescent="0.2">
      <c r="A4" s="663" t="s">
        <v>284</v>
      </c>
      <c r="B4" s="683"/>
      <c r="C4" s="665">
        <f>'F.F.M30%'!C7+'F.F.M.70%'!C7+'F.F.M.ESTIIMACIONES 2014'!C7</f>
        <v>1322013.1335201531</v>
      </c>
      <c r="D4" s="665">
        <f>'F.F.M30%'!D7+'F.F.M.70%'!D7+'F.F.M.ESTIIMACIONES 2014'!D7</f>
        <v>1655639.0904723422</v>
      </c>
      <c r="E4" s="665">
        <f>'F.F.M30%'!E7+'F.F.M.70%'!E7+'F.F.M.ESTIIMACIONES 2014'!E7</f>
        <v>1357475.1968500149</v>
      </c>
      <c r="F4" s="665">
        <f>'F.F.M30%'!F7+'F.F.M.70%'!F7+'F.F.M.ESTIIMACIONES 2014'!F7</f>
        <v>1633380.737161241</v>
      </c>
      <c r="G4" s="665">
        <f>'F.F.M30%'!G7+'F.F.M.70%'!G7+'F.F.M.ESTIIMACIONES 2014'!G7</f>
        <v>1360974.8424622808</v>
      </c>
      <c r="H4" s="665">
        <f>'F.F.M30%'!H7+'F.F.M.70%'!H7+'F.F.M.ESTIIMACIONES 2014'!H7</f>
        <v>1436290.3793559603</v>
      </c>
      <c r="I4" s="665">
        <f>'F.F.M30%'!I7+'F.F.M.70%'!I7+'F.F.M.ESTIIMACIONES 2014'!I7</f>
        <v>1476808.5435782743</v>
      </c>
      <c r="J4" s="665">
        <f>'F.F.M30%'!J7+'F.F.M.70%'!J7+'F.F.M.ESTIIMACIONES 2014'!J7</f>
        <v>1371414.4093066023</v>
      </c>
      <c r="K4" s="665">
        <f>'F.F.M30%'!K7+'F.F.M.70%'!K7+'F.F.M.ESTIIMACIONES 2014'!K7</f>
        <v>1405466.8663878769</v>
      </c>
      <c r="L4" s="665">
        <f>'F.F.M30%'!L7+'F.F.M.70%'!L7+'F.F.M.ESTIIMACIONES 2014'!L7</f>
        <v>1340846.7956871174</v>
      </c>
      <c r="M4" s="665">
        <f>'F.F.M30%'!M7+'F.F.M.70%'!M7+'F.F.M.ESTIIMACIONES 2014'!M7</f>
        <v>1317996.4908818004</v>
      </c>
      <c r="N4" s="665">
        <f>'F.F.M30%'!N7+'F.F.M.70%'!N7+'F.F.M.ESTIIMACIONES 2014'!N7</f>
        <v>1392583.7123750623</v>
      </c>
      <c r="O4" s="666">
        <f t="shared" ref="O4:O24" si="0">SUM(C4:N4)</f>
        <v>17070890.198038727</v>
      </c>
    </row>
    <row r="5" spans="1:15" ht="12.75" customHeight="1" x14ac:dyDescent="0.2">
      <c r="A5" s="663" t="s">
        <v>148</v>
      </c>
      <c r="B5" s="683"/>
      <c r="C5" s="665">
        <f>'F.F.M30%'!C8+'F.F.M.70%'!C8+'F.F.M.ESTIIMACIONES 2014'!C8</f>
        <v>891210.60074730532</v>
      </c>
      <c r="D5" s="665">
        <f>'F.F.M30%'!D8+'F.F.M.70%'!D8+'F.F.M.ESTIIMACIONES 2014'!D8</f>
        <v>1081899.6911122163</v>
      </c>
      <c r="E5" s="665">
        <f>'F.F.M30%'!E8+'F.F.M.70%'!E8+'F.F.M.ESTIIMACIONES 2014'!E8</f>
        <v>897137.18490691704</v>
      </c>
      <c r="F5" s="665">
        <f>'F.F.M30%'!F8+'F.F.M.70%'!F8+'F.F.M.ESTIIMACIONES 2014'!F8</f>
        <v>1045185.9623689564</v>
      </c>
      <c r="G5" s="665">
        <f>'F.F.M30%'!G8+'F.F.M.70%'!G8+'F.F.M.ESTIIMACIONES 2014'!G8</f>
        <v>875653.08918540529</v>
      </c>
      <c r="H5" s="665">
        <f>'F.F.M30%'!H8+'F.F.M.70%'!H8+'F.F.M.ESTIIMACIONES 2014'!H8</f>
        <v>929163.21163816459</v>
      </c>
      <c r="I5" s="665">
        <f>'F.F.M30%'!I8+'F.F.M.70%'!I8+'F.F.M.ESTIIMACIONES 2014'!I8</f>
        <v>986466.44815504143</v>
      </c>
      <c r="J5" s="665">
        <f>'F.F.M30%'!J8+'F.F.M.70%'!J8+'F.F.M.ESTIIMACIONES 2014'!J8</f>
        <v>889656.15110324242</v>
      </c>
      <c r="K5" s="665">
        <f>'F.F.M30%'!K8+'F.F.M.70%'!K8+'F.F.M.ESTIIMACIONES 2014'!K8</f>
        <v>941701.3131234349</v>
      </c>
      <c r="L5" s="665">
        <f>'F.F.M30%'!L8+'F.F.M.70%'!L8+'F.F.M.ESTIIMACIONES 2014'!L8</f>
        <v>914511.68208361953</v>
      </c>
      <c r="M5" s="665">
        <f>'F.F.M30%'!M8+'F.F.M.70%'!M8+'F.F.M.ESTIIMACIONES 2014'!M8</f>
        <v>867784.25349758682</v>
      </c>
      <c r="N5" s="665">
        <f>'F.F.M30%'!N8+'F.F.M.70%'!N8+'F.F.M.ESTIIMACIONES 2014'!N8</f>
        <v>938426.9154265587</v>
      </c>
      <c r="O5" s="666">
        <f t="shared" si="0"/>
        <v>11258796.503348449</v>
      </c>
    </row>
    <row r="6" spans="1:15" ht="12.75" customHeight="1" x14ac:dyDescent="0.2">
      <c r="A6" s="663" t="s">
        <v>149</v>
      </c>
      <c r="B6" s="683"/>
      <c r="C6" s="665">
        <f>'F.F.M30%'!C9+'F.F.M.70%'!C9+'F.F.M.ESTIIMACIONES 2014'!C9</f>
        <v>837245.04148658679</v>
      </c>
      <c r="D6" s="665">
        <f>'F.F.M30%'!D9+'F.F.M.70%'!D9+'F.F.M.ESTIIMACIONES 2014'!D9</f>
        <v>1005345.0181647957</v>
      </c>
      <c r="E6" s="665">
        <f>'F.F.M30%'!E9+'F.F.M.70%'!E9+'F.F.M.ESTIIMACIONES 2014'!E9</f>
        <v>837010.79707804753</v>
      </c>
      <c r="F6" s="665">
        <f>'F.F.M30%'!F9+'F.F.M.70%'!F9+'F.F.M.ESTIIMACIONES 2014'!F9</f>
        <v>963849.0683621486</v>
      </c>
      <c r="G6" s="665">
        <f>'F.F.M30%'!G9+'F.F.M.70%'!G9+'F.F.M.ESTIIMACIONES 2014'!G9</f>
        <v>809133.43315086281</v>
      </c>
      <c r="H6" s="665">
        <f>'F.F.M30%'!H9+'F.F.M.70%'!H9+'F.F.M.ESTIIMACIONES 2014'!H9</f>
        <v>860286.75539656496</v>
      </c>
      <c r="I6" s="665">
        <f>'F.F.M30%'!I9+'F.F.M.70%'!I9+'F.F.M.ESTIIMACIONES 2014'!I9</f>
        <v>923797.39461464621</v>
      </c>
      <c r="J6" s="665">
        <f>'F.F.M30%'!J9+'F.F.M.70%'!J9+'F.F.M.ESTIIMACIONES 2014'!J9</f>
        <v>824536.29579451575</v>
      </c>
      <c r="K6" s="665">
        <f>'F.F.M30%'!K9+'F.F.M.70%'!K9+'F.F.M.ESTIIMACIONES 2014'!K9</f>
        <v>882817.03835760686</v>
      </c>
      <c r="L6" s="665">
        <f>'F.F.M30%'!L9+'F.F.M.70%'!L9+'F.F.M.ESTIIMACIONES 2014'!L9</f>
        <v>862557.2941511909</v>
      </c>
      <c r="M6" s="665">
        <f>'F.F.M30%'!M9+'F.F.M.70%'!M9+'F.F.M.ESTIIMACIONES 2014'!M9</f>
        <v>808551.37531160237</v>
      </c>
      <c r="N6" s="665">
        <f>'F.F.M30%'!N9+'F.F.M.70%'!N9+'F.F.M.ESTIIMACIONES 2014'!N9</f>
        <v>881486.88779788814</v>
      </c>
      <c r="O6" s="666">
        <f t="shared" si="0"/>
        <v>10496616.399666457</v>
      </c>
    </row>
    <row r="7" spans="1:15" ht="12.75" customHeight="1" x14ac:dyDescent="0.2">
      <c r="A7" s="663" t="s">
        <v>285</v>
      </c>
      <c r="B7" s="683"/>
      <c r="C7" s="665">
        <f>'F.F.M30%'!C10+'F.F.M.70%'!C10+'F.F.M.ESTIIMACIONES 2014'!C10</f>
        <v>1491369.8299532714</v>
      </c>
      <c r="D7" s="665">
        <f>'F.F.M30%'!D10+'F.F.M.70%'!D10+'F.F.M.ESTIIMACIONES 2014'!D10</f>
        <v>3338027.3383213542</v>
      </c>
      <c r="E7" s="665">
        <f>'F.F.M30%'!E10+'F.F.M.70%'!E10+'F.F.M.ESTIIMACIONES 2014'!E10</f>
        <v>2303910.5075740987</v>
      </c>
      <c r="F7" s="665">
        <f>'F.F.M30%'!F10+'F.F.M.70%'!F10+'F.F.M.ESTIIMACIONES 2014'!F10</f>
        <v>4245686.5207385235</v>
      </c>
      <c r="G7" s="665">
        <f>'F.F.M30%'!G10+'F.F.M.70%'!G10+'F.F.M.ESTIIMACIONES 2014'!G10</f>
        <v>3332347.8686838811</v>
      </c>
      <c r="H7" s="665">
        <f>'F.F.M30%'!H10+'F.F.M.70%'!H10+'F.F.M.ESTIIMACIONES 2014'!H10</f>
        <v>3299685.7532541603</v>
      </c>
      <c r="I7" s="665">
        <f>'F.F.M30%'!I10+'F.F.M.70%'!I10+'F.F.M.ESTIIMACIONES 2014'!I10</f>
        <v>2056854.2735561449</v>
      </c>
      <c r="J7" s="665">
        <f>'F.F.M30%'!J10+'F.F.M.70%'!J10+'F.F.M.ESTIIMACIONES 2014'!J10</f>
        <v>3044837.5457127783</v>
      </c>
      <c r="K7" s="665">
        <f>'F.F.M30%'!K10+'F.F.M.70%'!K10+'F.F.M.ESTIIMACIONES 2014'!K10</f>
        <v>1833354.4420919756</v>
      </c>
      <c r="L7" s="665">
        <f>'F.F.M30%'!L10+'F.F.M.70%'!L10+'F.F.M.ESTIIMACIONES 2014'!L10</f>
        <v>1056957.2240856176</v>
      </c>
      <c r="M7" s="665">
        <f>'F.F.M30%'!M10+'F.F.M.70%'!M10+'F.F.M.ESTIIMACIONES 2014'!M10</f>
        <v>2377066.6331531638</v>
      </c>
      <c r="N7" s="665">
        <f>'F.F.M30%'!N10+'F.F.M.70%'!N10+'F.F.M.ESTIIMACIONES 2014'!N10</f>
        <v>1586343.0753289603</v>
      </c>
      <c r="O7" s="666">
        <f t="shared" si="0"/>
        <v>29966441.012453929</v>
      </c>
    </row>
    <row r="8" spans="1:15" ht="12.75" customHeight="1" x14ac:dyDescent="0.2">
      <c r="A8" s="663" t="s">
        <v>151</v>
      </c>
      <c r="B8" s="683"/>
      <c r="C8" s="665">
        <f>'F.F.M30%'!C11+'F.F.M.70%'!C11+'F.F.M.ESTIIMACIONES 2014'!C11</f>
        <v>1766577.8120170794</v>
      </c>
      <c r="D8" s="665">
        <f>'F.F.M30%'!D11+'F.F.M.70%'!D11+'F.F.M.ESTIIMACIONES 2014'!D11</f>
        <v>2440173.2941410108</v>
      </c>
      <c r="E8" s="665">
        <f>'F.F.M30%'!E11+'F.F.M.70%'!E11+'F.F.M.ESTIIMACIONES 2014'!E11</f>
        <v>1933646.5472928074</v>
      </c>
      <c r="F8" s="665">
        <f>'F.F.M30%'!F11+'F.F.M.70%'!F11+'F.F.M.ESTIIMACIONES 2014'!F11</f>
        <v>2554934.8648334108</v>
      </c>
      <c r="G8" s="665">
        <f>'F.F.M30%'!G11+'F.F.M.70%'!G11+'F.F.M.ESTIIMACIONES 2014'!G11</f>
        <v>2097037.3475027087</v>
      </c>
      <c r="H8" s="665">
        <f>'F.F.M30%'!H11+'F.F.M.70%'!H11+'F.F.M.ESTIIMACIONES 2014'!H11</f>
        <v>2179457.2250025915</v>
      </c>
      <c r="I8" s="665">
        <f>'F.F.M30%'!I11+'F.F.M.70%'!I11+'F.F.M.ESTIIMACIONES 2014'!I11</f>
        <v>2033979.6212678349</v>
      </c>
      <c r="J8" s="665">
        <f>'F.F.M30%'!J11+'F.F.M.70%'!J11+'F.F.M.ESTIIMACIONES 2014'!J11</f>
        <v>2064621.8183427351</v>
      </c>
      <c r="K8" s="665">
        <f>'F.F.M30%'!K11+'F.F.M.70%'!K11+'F.F.M.ESTIIMACIONES 2014'!K11</f>
        <v>1916490.7204400816</v>
      </c>
      <c r="L8" s="665">
        <f>'F.F.M30%'!L11+'F.F.M.70%'!L11+'F.F.M.ESTIIMACIONES 2014'!L11</f>
        <v>1721153.9665827744</v>
      </c>
      <c r="M8" s="665">
        <f>'F.F.M30%'!M11+'F.F.M.70%'!M11+'F.F.M.ESTIIMACIONES 2014'!M11</f>
        <v>1899124.9294453044</v>
      </c>
      <c r="N8" s="665">
        <f>'F.F.M30%'!N11+'F.F.M.70%'!N11+'F.F.M.ESTIIMACIONES 2014'!N11</f>
        <v>1863259.683663921</v>
      </c>
      <c r="O8" s="666">
        <f t="shared" si="0"/>
        <v>24470457.83053226</v>
      </c>
    </row>
    <row r="9" spans="1:15" ht="12.75" customHeight="1" x14ac:dyDescent="0.2">
      <c r="A9" s="663" t="s">
        <v>286</v>
      </c>
      <c r="B9" s="683"/>
      <c r="C9" s="665">
        <f>'F.F.M30%'!C12+'F.F.M.70%'!C12+'F.F.M.ESTIIMACIONES 2014'!C12</f>
        <v>569821.89258557698</v>
      </c>
      <c r="D9" s="665">
        <f>'F.F.M30%'!D12+'F.F.M.70%'!D12+'F.F.M.ESTIIMACIONES 2014'!D12</f>
        <v>783244.10361743812</v>
      </c>
      <c r="E9" s="665">
        <f>'F.F.M30%'!E12+'F.F.M.70%'!E12+'F.F.M.ESTIIMACIONES 2014'!E12</f>
        <v>621687.81062929891</v>
      </c>
      <c r="F9" s="665">
        <f>'F.F.M30%'!F12+'F.F.M.70%'!F12+'F.F.M.ESTIIMACIONES 2014'!F12</f>
        <v>817818.33584954031</v>
      </c>
      <c r="G9" s="665">
        <f>'F.F.M30%'!G12+'F.F.M.70%'!G12+'F.F.M.ESTIIMACIONES 2014'!G12</f>
        <v>671707.52289759647</v>
      </c>
      <c r="H9" s="665">
        <f>'F.F.M30%'!H12+'F.F.M.70%'!H12+'F.F.M.ESTIIMACIONES 2014'!H12</f>
        <v>698600.68489358854</v>
      </c>
      <c r="I9" s="665">
        <f>'F.F.M30%'!I12+'F.F.M.70%'!I12+'F.F.M.ESTIIMACIONES 2014'!I12</f>
        <v>655050.54275724688</v>
      </c>
      <c r="J9" s="665">
        <f>'F.F.M30%'!J12+'F.F.M.70%'!J12+'F.F.M.ESTIIMACIONES 2014'!J12</f>
        <v>662035.49803478178</v>
      </c>
      <c r="K9" s="665">
        <f>'F.F.M30%'!K12+'F.F.M.70%'!K12+'F.F.M.ESTIIMACIONES 2014'!K12</f>
        <v>617528.24927332602</v>
      </c>
      <c r="L9" s="665">
        <f>'F.F.M30%'!L12+'F.F.M.70%'!L12+'F.F.M.ESTIIMACIONES 2014'!L12</f>
        <v>556363.48019866203</v>
      </c>
      <c r="M9" s="665">
        <f>'F.F.M30%'!M12+'F.F.M.70%'!M12+'F.F.M.ESTIIMACIONES 2014'!M12</f>
        <v>610244.38996441406</v>
      </c>
      <c r="N9" s="665">
        <f>'F.F.M30%'!N12+'F.F.M.70%'!N12+'F.F.M.ESTIIMACIONES 2014'!N12</f>
        <v>600967.0656542303</v>
      </c>
      <c r="O9" s="666">
        <f t="shared" si="0"/>
        <v>7865069.5763557004</v>
      </c>
    </row>
    <row r="10" spans="1:15" ht="12.75" customHeight="1" x14ac:dyDescent="0.2">
      <c r="A10" s="663" t="s">
        <v>153</v>
      </c>
      <c r="B10" s="683"/>
      <c r="C10" s="665">
        <f>'F.F.M30%'!C13+'F.F.M.70%'!C13+'F.F.M.ESTIIMACIONES 2014'!C13</f>
        <v>552319.11451411864</v>
      </c>
      <c r="D10" s="665">
        <f>'F.F.M30%'!D13+'F.F.M.70%'!D13+'F.F.M.ESTIIMACIONES 2014'!D13</f>
        <v>671372.38447230472</v>
      </c>
      <c r="E10" s="665">
        <f>'F.F.M30%'!E13+'F.F.M.70%'!E13+'F.F.M.ESTIIMACIONES 2014'!E13</f>
        <v>556452.10202627326</v>
      </c>
      <c r="F10" s="665">
        <f>'F.F.M30%'!F13+'F.F.M.70%'!F13+'F.F.M.ESTIIMACIONES 2014'!F13</f>
        <v>649174.87094917858</v>
      </c>
      <c r="G10" s="665">
        <f>'F.F.M30%'!G13+'F.F.M.70%'!G13+'F.F.M.ESTIIMACIONES 2014'!G13</f>
        <v>543747.62512797886</v>
      </c>
      <c r="H10" s="665">
        <f>'F.F.M30%'!H13+'F.F.M.70%'!H13+'F.F.M.ESTIIMACIONES 2014'!H13</f>
        <v>576839.9576520276</v>
      </c>
      <c r="I10" s="665">
        <f>'F.F.M30%'!I13+'F.F.M.70%'!I13+'F.F.M.ESTIIMACIONES 2014'!I13</f>
        <v>611585.75708476396</v>
      </c>
      <c r="J10" s="665">
        <f>'F.F.M30%'!J13+'F.F.M.70%'!J13+'F.F.M.ESTIIMACIONES 2014'!J13</f>
        <v>552247.66138972749</v>
      </c>
      <c r="K10" s="665">
        <f>'F.F.M30%'!K13+'F.F.M.70%'!K13+'F.F.M.ESTIIMACIONES 2014'!K13</f>
        <v>583757.83172740415</v>
      </c>
      <c r="L10" s="665">
        <f>'F.F.M30%'!L13+'F.F.M.70%'!L13+'F.F.M.ESTIIMACIONES 2014'!L13</f>
        <v>566488.38875967741</v>
      </c>
      <c r="M10" s="665">
        <f>'F.F.M30%'!M13+'F.F.M.70%'!M13+'F.F.M.ESTIIMACIONES 2014'!M13</f>
        <v>538330.99352000467</v>
      </c>
      <c r="N10" s="665">
        <f>'F.F.M30%'!N13+'F.F.M.70%'!N13+'F.F.M.ESTIIMACIONES 2014'!N13</f>
        <v>581590.11516621651</v>
      </c>
      <c r="O10" s="666">
        <f t="shared" si="0"/>
        <v>6983906.8023896758</v>
      </c>
    </row>
    <row r="11" spans="1:15" ht="12.75" customHeight="1" x14ac:dyDescent="0.2">
      <c r="A11" s="663" t="s">
        <v>154</v>
      </c>
      <c r="B11" s="683"/>
      <c r="C11" s="665">
        <f>'F.F.M30%'!C14+'F.F.M.70%'!C14+'F.F.M.ESTIIMACIONES 2014'!C14</f>
        <v>1153938.3834401693</v>
      </c>
      <c r="D11" s="665">
        <f>'F.F.M30%'!D14+'F.F.M.70%'!D14+'F.F.M.ESTIIMACIONES 2014'!D14</f>
        <v>1444882.7303041718</v>
      </c>
      <c r="E11" s="665">
        <f>'F.F.M30%'!E14+'F.F.M.70%'!E14+'F.F.M.ESTIIMACIONES 2014'!E14</f>
        <v>1184752.238613222</v>
      </c>
      <c r="F11" s="665">
        <f>'F.F.M30%'!F14+'F.F.M.70%'!F14+'F.F.M.ESTIIMACIONES 2014'!F14</f>
        <v>1425285.5005557816</v>
      </c>
      <c r="G11" s="665">
        <f>'F.F.M30%'!G14+'F.F.M.70%'!G14+'F.F.M.ESTIIMACIONES 2014'!G14</f>
        <v>1187621.6639590526</v>
      </c>
      <c r="H11" s="665">
        <f>'F.F.M30%'!H14+'F.F.M.70%'!H14+'F.F.M.ESTIIMACIONES 2014'!H14</f>
        <v>1253383.1993650352</v>
      </c>
      <c r="I11" s="665">
        <f>'F.F.M30%'!I14+'F.F.M.70%'!I14+'F.F.M.ESTIIMACIONES 2014'!I14</f>
        <v>1288983.1160420084</v>
      </c>
      <c r="J11" s="665">
        <f>'F.F.M30%'!J14+'F.F.M.70%'!J14+'F.F.M.ESTIIMACIONES 2014'!J14</f>
        <v>1196788.121345382</v>
      </c>
      <c r="K11" s="665">
        <f>'F.F.M30%'!K14+'F.F.M.70%'!K14+'F.F.M.ESTIIMACIONES 2014'!K14</f>
        <v>1226737.3626066174</v>
      </c>
      <c r="L11" s="665">
        <f>'F.F.M30%'!L14+'F.F.M.70%'!L14+'F.F.M.ESTIIMACIONES 2014'!L14</f>
        <v>1170460.0306650174</v>
      </c>
      <c r="M11" s="665">
        <f>'F.F.M30%'!M14+'F.F.M.70%'!M14+'F.F.M.ESTIIMACIONES 2014'!M14</f>
        <v>1150271.3900972574</v>
      </c>
      <c r="N11" s="665">
        <f>'F.F.M30%'!N14+'F.F.M.70%'!N14+'F.F.M.ESTIIMACIONES 2014'!N14</f>
        <v>1215534.1607307834</v>
      </c>
      <c r="O11" s="666">
        <f t="shared" si="0"/>
        <v>14898637.897724496</v>
      </c>
    </row>
    <row r="12" spans="1:15" ht="12.75" customHeight="1" x14ac:dyDescent="0.2">
      <c r="A12" s="663" t="s">
        <v>155</v>
      </c>
      <c r="B12" s="683"/>
      <c r="C12" s="665">
        <f>'F.F.M30%'!C15+'F.F.M.70%'!C15+'F.F.M.ESTIIMACIONES 2014'!C15</f>
        <v>1014292.3612803298</v>
      </c>
      <c r="D12" s="665">
        <f>'F.F.M30%'!D15+'F.F.M.70%'!D15+'F.F.M.ESTIIMACIONES 2014'!D15</f>
        <v>1232612.4705358068</v>
      </c>
      <c r="E12" s="665">
        <f>'F.F.M30%'!E15+'F.F.M.70%'!E15+'F.F.M.ESTIIMACIONES 2014'!E15</f>
        <v>1021718.2236752871</v>
      </c>
      <c r="F12" s="665">
        <f>'F.F.M30%'!F15+'F.F.M.70%'!F15+'F.F.M.ESTIIMACIONES 2014'!F15</f>
        <v>1191650.3279376945</v>
      </c>
      <c r="G12" s="665">
        <f>'F.F.M30%'!G15+'F.F.M.70%'!G15+'F.F.M.ESTIIMACIONES 2014'!G15</f>
        <v>998169.84831253986</v>
      </c>
      <c r="H12" s="665">
        <f>'F.F.M30%'!H15+'F.F.M.70%'!H15+'F.F.M.ESTIIMACIONES 2014'!H15</f>
        <v>1058966.3982523025</v>
      </c>
      <c r="I12" s="665">
        <f>'F.F.M30%'!I15+'F.F.M.70%'!I15+'F.F.M.ESTIIMACIONES 2014'!I15</f>
        <v>1123048.0729791548</v>
      </c>
      <c r="J12" s="665">
        <f>'F.F.M30%'!J15+'F.F.M.70%'!J15+'F.F.M.ESTIIMACIONES 2014'!J15</f>
        <v>1013843.0804918661</v>
      </c>
      <c r="K12" s="665">
        <f>'F.F.M30%'!K15+'F.F.M.70%'!K15+'F.F.M.ESTIIMACIONES 2014'!K15</f>
        <v>1071974.5604619472</v>
      </c>
      <c r="L12" s="665">
        <f>'F.F.M30%'!L15+'F.F.M.70%'!L15+'F.F.M.ESTIIMACIONES 2014'!L15</f>
        <v>1040409.9284654856</v>
      </c>
      <c r="M12" s="665">
        <f>'F.F.M30%'!M15+'F.F.M.70%'!M15+'F.F.M.ESTIIMACIONES 2014'!M15</f>
        <v>988415.18244306464</v>
      </c>
      <c r="N12" s="665">
        <f>'F.F.M30%'!N15+'F.F.M.70%'!N15+'F.F.M.ESTIIMACIONES 2014'!N15</f>
        <v>1068043.0820694182</v>
      </c>
      <c r="O12" s="666">
        <f t="shared" si="0"/>
        <v>12823143.536904899</v>
      </c>
    </row>
    <row r="13" spans="1:15" ht="12.75" customHeight="1" x14ac:dyDescent="0.2">
      <c r="A13" s="663" t="s">
        <v>156</v>
      </c>
      <c r="B13" s="683"/>
      <c r="C13" s="665">
        <f>'F.F.M30%'!C16+'F.F.M.70%'!C16+'F.F.M.ESTIIMACIONES 2014'!C16</f>
        <v>577385.8665411839</v>
      </c>
      <c r="D13" s="665">
        <f>'F.F.M30%'!D16+'F.F.M.70%'!D16+'F.F.M.ESTIIMACIONES 2014'!D16</f>
        <v>701194.00197382388</v>
      </c>
      <c r="E13" s="665">
        <f>'F.F.M30%'!E16+'F.F.M.70%'!E16+'F.F.M.ESTIIMACIONES 2014'!E16</f>
        <v>581365.78465585446</v>
      </c>
      <c r="F13" s="665">
        <f>'F.F.M30%'!F16+'F.F.M.70%'!F16+'F.F.M.ESTIIMACIONES 2014'!F16</f>
        <v>677577.76774091041</v>
      </c>
      <c r="G13" s="665">
        <f>'F.F.M30%'!G16+'F.F.M.70%'!G16+'F.F.M.ESTIIMACIONES 2014'!G16</f>
        <v>567632.98083895131</v>
      </c>
      <c r="H13" s="665">
        <f>'F.F.M30%'!H16+'F.F.M.70%'!H16+'F.F.M.ESTIIMACIONES 2014'!H16</f>
        <v>602279.06001792417</v>
      </c>
      <c r="I13" s="665">
        <f>'F.F.M30%'!I16+'F.F.M.70%'!I16+'F.F.M.ESTIIMACIONES 2014'!I16</f>
        <v>639169.95277894253</v>
      </c>
      <c r="J13" s="665">
        <f>'F.F.M30%'!J16+'F.F.M.70%'!J16+'F.F.M.ESTIIMACIONES 2014'!J16</f>
        <v>576650.75558824732</v>
      </c>
      <c r="K13" s="665">
        <f>'F.F.M30%'!K16+'F.F.M.70%'!K16+'F.F.M.ESTIIMACIONES 2014'!K16</f>
        <v>610142.13266741554</v>
      </c>
      <c r="L13" s="665">
        <f>'F.F.M30%'!L16+'F.F.M.70%'!L16+'F.F.M.ESTIIMACIONES 2014'!L16</f>
        <v>592399.12585620093</v>
      </c>
      <c r="M13" s="665">
        <f>'F.F.M30%'!M16+'F.F.M.70%'!M16+'F.F.M.ESTIIMACIONES 2014'!M16</f>
        <v>562370.3624606044</v>
      </c>
      <c r="N13" s="665">
        <f>'F.F.M30%'!N16+'F.F.M.70%'!N16+'F.F.M.ESTIIMACIONES 2014'!N16</f>
        <v>607978.54441812262</v>
      </c>
      <c r="O13" s="666">
        <f t="shared" si="0"/>
        <v>7296146.3355381824</v>
      </c>
    </row>
    <row r="14" spans="1:15" ht="12.75" customHeight="1" x14ac:dyDescent="0.2">
      <c r="A14" s="663" t="s">
        <v>157</v>
      </c>
      <c r="B14" s="683"/>
      <c r="C14" s="665">
        <f>'F.F.M30%'!C17+'F.F.M.70%'!C17+'F.F.M.ESTIIMACIONES 2014'!C17</f>
        <v>1203072.2551097884</v>
      </c>
      <c r="D14" s="665">
        <f>'F.F.M30%'!D17+'F.F.M.70%'!D17+'F.F.M.ESTIIMACIONES 2014'!D17</f>
        <v>2031097.3138056064</v>
      </c>
      <c r="E14" s="665">
        <f>'F.F.M30%'!E17+'F.F.M.70%'!E17+'F.F.M.ESTIIMACIONES 2014'!E17</f>
        <v>1510887.3394063734</v>
      </c>
      <c r="F14" s="665">
        <f>'F.F.M30%'!F17+'F.F.M.70%'!F17+'F.F.M.ESTIIMACIONES 2014'!F17</f>
        <v>2343536.1005330305</v>
      </c>
      <c r="G14" s="665">
        <f>'F.F.M30%'!G17+'F.F.M.70%'!G17+'F.F.M.ESTIIMACIONES 2014'!G17</f>
        <v>1879481.0026300251</v>
      </c>
      <c r="H14" s="665">
        <f>'F.F.M30%'!H17+'F.F.M.70%'!H17+'F.F.M.ESTIIMACIONES 2014'!H17</f>
        <v>1906066.2982284047</v>
      </c>
      <c r="I14" s="665">
        <f>'F.F.M30%'!I17+'F.F.M.70%'!I17+'F.F.M.ESTIIMACIONES 2014'!I17</f>
        <v>1483350.077275787</v>
      </c>
      <c r="J14" s="665">
        <f>'F.F.M30%'!J17+'F.F.M.70%'!J17+'F.F.M.ESTIIMACIONES 2014'!J17</f>
        <v>1782233.3017356829</v>
      </c>
      <c r="K14" s="665">
        <f>'F.F.M30%'!K17+'F.F.M.70%'!K17+'F.F.M.ESTIIMACIONES 2014'!K17</f>
        <v>1367415.8257714927</v>
      </c>
      <c r="L14" s="665">
        <f>'F.F.M30%'!L17+'F.F.M.70%'!L17+'F.F.M.ESTIIMACIONES 2014'!L17</f>
        <v>1057689.6925319394</v>
      </c>
      <c r="M14" s="665">
        <f>'F.F.M30%'!M17+'F.F.M.70%'!M17+'F.F.M.ESTIIMACIONES 2014'!M17</f>
        <v>1516938.2987276614</v>
      </c>
      <c r="N14" s="665">
        <f>'F.F.M30%'!N17+'F.F.M.70%'!N17+'F.F.M.ESTIIMACIONES 2014'!N17</f>
        <v>1272772.9370300213</v>
      </c>
      <c r="O14" s="666">
        <f t="shared" si="0"/>
        <v>19354540.442785811</v>
      </c>
    </row>
    <row r="15" spans="1:15" ht="12.75" customHeight="1" x14ac:dyDescent="0.2">
      <c r="A15" s="663" t="s">
        <v>158</v>
      </c>
      <c r="B15" s="683"/>
      <c r="C15" s="665">
        <f>'F.F.M30%'!C18+'F.F.M.70%'!C18+'F.F.M.ESTIIMACIONES 2014'!C18</f>
        <v>1200999.2977242493</v>
      </c>
      <c r="D15" s="665">
        <f>'F.F.M30%'!D18+'F.F.M.70%'!D18+'F.F.M.ESTIIMACIONES 2014'!D18</f>
        <v>1456336.844879722</v>
      </c>
      <c r="E15" s="665">
        <f>'F.F.M30%'!E18+'F.F.M.70%'!E18+'F.F.M.ESTIIMACIONES 2014'!E18</f>
        <v>1208126.4354440991</v>
      </c>
      <c r="F15" s="665">
        <f>'F.F.M30%'!F18+'F.F.M.70%'!F18+'F.F.M.ESTIIMACIONES 2014'!F18</f>
        <v>1405823.4290843727</v>
      </c>
      <c r="G15" s="665">
        <f>'F.F.M30%'!G18+'F.F.M.70%'!G18+'F.F.M.ESTIIMACIONES 2014'!G18</f>
        <v>1178034.4879235805</v>
      </c>
      <c r="H15" s="665">
        <f>'F.F.M30%'!H18+'F.F.M.70%'!H18+'F.F.M.ESTIIMACIONES 2014'!H18</f>
        <v>1250275.8378018269</v>
      </c>
      <c r="I15" s="665">
        <f>'F.F.M30%'!I18+'F.F.M.70%'!I18+'F.F.M.ESTIIMACIONES 2014'!I18</f>
        <v>1328931.6090061336</v>
      </c>
      <c r="J15" s="665">
        <f>'F.F.M30%'!J18+'F.F.M.70%'!J18+'F.F.M.ESTIIMACIONES 2014'!J18</f>
        <v>1197238.0738262343</v>
      </c>
      <c r="K15" s="665">
        <f>'F.F.M30%'!K18+'F.F.M.70%'!K18+'F.F.M.ESTIIMACIONES 2014'!K18</f>
        <v>1268765.0458843308</v>
      </c>
      <c r="L15" s="665">
        <f>'F.F.M30%'!L18+'F.F.M.70%'!L18+'F.F.M.ESTIIMACIONES 2014'!L18</f>
        <v>1232906.9203751967</v>
      </c>
      <c r="M15" s="665">
        <f>'F.F.M30%'!M18+'F.F.M.70%'!M18+'F.F.M.ESTIIMACIONES 2014'!M18</f>
        <v>1168439.3479529484</v>
      </c>
      <c r="N15" s="665">
        <f>'F.F.M30%'!N18+'F.F.M.70%'!N18+'F.F.M.ESTIIMACIONES 2014'!N18</f>
        <v>1264611.1170049245</v>
      </c>
      <c r="O15" s="666">
        <f t="shared" si="0"/>
        <v>15160488.446907617</v>
      </c>
    </row>
    <row r="16" spans="1:15" ht="12.75" customHeight="1" x14ac:dyDescent="0.2">
      <c r="A16" s="663" t="s">
        <v>159</v>
      </c>
      <c r="B16" s="683"/>
      <c r="C16" s="665">
        <f>'F.F.M30%'!C19+'F.F.M.70%'!C19+'F.F.M.ESTIIMACIONES 2014'!C19</f>
        <v>1697374.9271238176</v>
      </c>
      <c r="D16" s="665">
        <f>'F.F.M30%'!D19+'F.F.M.70%'!D19+'F.F.M.ESTIIMACIONES 2014'!D19</f>
        <v>2077054.9891812538</v>
      </c>
      <c r="E16" s="665">
        <f>'F.F.M30%'!E19+'F.F.M.70%'!E19+'F.F.M.ESTIIMACIONES 2014'!E19</f>
        <v>1717331.5641453671</v>
      </c>
      <c r="F16" s="665">
        <f>'F.F.M30%'!F19+'F.F.M.70%'!F19+'F.F.M.ESTIIMACIONES 2014'!F19</f>
        <v>2017598.1330160364</v>
      </c>
      <c r="G16" s="665">
        <f>'F.F.M30%'!G19+'F.F.M.70%'!G19+'F.F.M.ESTIIMACIONES 2014'!G19</f>
        <v>1687909.8868760064</v>
      </c>
      <c r="H16" s="665">
        <f>'F.F.M30%'!H19+'F.F.M.70%'!H19+'F.F.M.ESTIIMACIONES 2014'!H19</f>
        <v>1788503.835336721</v>
      </c>
      <c r="I16" s="665">
        <f>'F.F.M30%'!I19+'F.F.M.70%'!I19+'F.F.M.ESTIIMACIONES 2014'!I19</f>
        <v>1883182.5988564109</v>
      </c>
      <c r="J16" s="665">
        <f>'F.F.M30%'!J19+'F.F.M.70%'!J19+'F.F.M.ESTIIMACIONES 2014'!J19</f>
        <v>1711221.2696251113</v>
      </c>
      <c r="K16" s="665">
        <f>'F.F.M30%'!K19+'F.F.M.70%'!K19+'F.F.M.ESTIIMACIONES 2014'!K19</f>
        <v>1796319.2770636333</v>
      </c>
      <c r="L16" s="665">
        <f>'F.F.M30%'!L19+'F.F.M.70%'!L19+'F.F.M.ESTIIMACIONES 2014'!L19</f>
        <v>1736640.3299946752</v>
      </c>
      <c r="M16" s="665">
        <f>'F.F.M30%'!M19+'F.F.M.70%'!M19+'F.F.M.ESTIIMACIONES 2014'!M19</f>
        <v>1662747.4739228708</v>
      </c>
      <c r="N16" s="665">
        <f>'F.F.M30%'!N19+'F.F.M.70%'!N19+'F.F.M.ESTIIMACIONES 2014'!N19</f>
        <v>1787474.1945079826</v>
      </c>
      <c r="O16" s="666">
        <f t="shared" si="0"/>
        <v>21563358.479649883</v>
      </c>
    </row>
    <row r="17" spans="1:15" ht="12.75" customHeight="1" x14ac:dyDescent="0.2">
      <c r="A17" s="663" t="s">
        <v>287</v>
      </c>
      <c r="B17" s="683"/>
      <c r="C17" s="665">
        <f>'F.F.M30%'!C20+'F.F.M.70%'!C20+'F.F.M.ESTIIMACIONES 2014'!C20</f>
        <v>762541.57028258068</v>
      </c>
      <c r="D17" s="665">
        <f>'F.F.M30%'!D20+'F.F.M.70%'!D20+'F.F.M.ESTIIMACIONES 2014'!D20</f>
        <v>906529.44627267367</v>
      </c>
      <c r="E17" s="665">
        <f>'F.F.M30%'!E20+'F.F.M.70%'!E20+'F.F.M.ESTIIMACIONES 2014'!E20</f>
        <v>757539.81259755313</v>
      </c>
      <c r="F17" s="665">
        <f>'F.F.M30%'!F20+'F.F.M.70%'!F20+'F.F.M.ESTIIMACIONES 2014'!F20</f>
        <v>862954.39815672394</v>
      </c>
      <c r="G17" s="665">
        <f>'F.F.M30%'!G20+'F.F.M.70%'!G20+'F.F.M.ESTIIMACIONES 2014'!G20</f>
        <v>725799.71593408275</v>
      </c>
      <c r="H17" s="665">
        <f>'F.F.M30%'!H20+'F.F.M.70%'!H20+'F.F.M.ESTIIMACIONES 2014'!H20</f>
        <v>773117.94758447458</v>
      </c>
      <c r="I17" s="665">
        <f>'F.F.M30%'!I20+'F.F.M.70%'!I20+'F.F.M.ESTIIMACIONES 2014'!I20</f>
        <v>838948.59672389075</v>
      </c>
      <c r="J17" s="665">
        <f>'F.F.M30%'!J20+'F.F.M.70%'!J20+'F.F.M.ESTIIMACIONES 2014'!J20</f>
        <v>741683.32728002337</v>
      </c>
      <c r="K17" s="665">
        <f>'F.F.M30%'!K20+'F.F.M.70%'!K20+'F.F.M.ESTIIMACIONES 2014'!K20</f>
        <v>802511.20175639051</v>
      </c>
      <c r="L17" s="665">
        <f>'F.F.M30%'!L20+'F.F.M.70%'!L20+'F.F.M.ESTIIMACIONES 2014'!L20</f>
        <v>788419.6428413894</v>
      </c>
      <c r="M17" s="665">
        <f>'F.F.M30%'!M20+'F.F.M.70%'!M20+'F.F.M.ESTIIMACIONES 2014'!M20</f>
        <v>730890.19957631279</v>
      </c>
      <c r="N17" s="665">
        <f>'F.F.M30%'!N20+'F.F.M.70%'!N20+'F.F.M.ESTIIMACIONES 2014'!N20</f>
        <v>802740.70322905399</v>
      </c>
      <c r="O17" s="666">
        <f t="shared" si="0"/>
        <v>9493676.5622351505</v>
      </c>
    </row>
    <row r="18" spans="1:15" ht="12.75" customHeight="1" x14ac:dyDescent="0.2">
      <c r="A18" s="663" t="s">
        <v>288</v>
      </c>
      <c r="B18" s="683"/>
      <c r="C18" s="665">
        <f>'F.F.M30%'!C21+'F.F.M.70%'!C21+'F.F.M.ESTIIMACIONES 2014'!C21</f>
        <v>1016667.6320767569</v>
      </c>
      <c r="D18" s="665">
        <f>'F.F.M30%'!D21+'F.F.M.70%'!D21+'F.F.M.ESTIIMACIONES 2014'!D21</f>
        <v>1243094.8990263524</v>
      </c>
      <c r="E18" s="665">
        <f>'F.F.M30%'!E21+'F.F.M.70%'!E21+'F.F.M.ESTIIMACIONES 2014'!E21</f>
        <v>1028101.9958870009</v>
      </c>
      <c r="F18" s="665">
        <f>'F.F.M30%'!F21+'F.F.M.70%'!F21+'F.F.M.ESTIIMACIONES 2014'!F21</f>
        <v>1206855.7473010737</v>
      </c>
      <c r="G18" s="665">
        <f>'F.F.M30%'!G21+'F.F.M.70%'!G21+'F.F.M.ESTIIMACIONES 2014'!G21</f>
        <v>1009791.2415861995</v>
      </c>
      <c r="H18" s="665">
        <f>'F.F.M30%'!H21+'F.F.M.70%'!H21+'F.F.M.ESTIIMACIONES 2014'!H21</f>
        <v>1070122.4800134676</v>
      </c>
      <c r="I18" s="665">
        <f>'F.F.M30%'!I21+'F.F.M.70%'!I21+'F.F.M.ESTIIMACIONES 2014'!I21</f>
        <v>1127697.3023882126</v>
      </c>
      <c r="J18" s="665">
        <f>'F.F.M30%'!J21+'F.F.M.70%'!J21+'F.F.M.ESTIIMACIONES 2014'!J21</f>
        <v>1023954.9850728215</v>
      </c>
      <c r="K18" s="665">
        <f>'F.F.M30%'!K21+'F.F.M.70%'!K21+'F.F.M.ESTIIMACIONES 2014'!K21</f>
        <v>1075765.3146194504</v>
      </c>
      <c r="L18" s="665">
        <f>'F.F.M30%'!L21+'F.F.M.70%'!L21+'F.F.M.ESTIIMACIONES 2014'!L21</f>
        <v>1040492.3140540477</v>
      </c>
      <c r="M18" s="665">
        <f>'F.F.M30%'!M21+'F.F.M.70%'!M21+'F.F.M.ESTIIMACIONES 2014'!M21</f>
        <v>995328.99299560022</v>
      </c>
      <c r="N18" s="665">
        <f>'F.F.M30%'!N21+'F.F.M.70%'!N21+'F.F.M.ESTIIMACIONES 2014'!N21</f>
        <v>1070623.5913548437</v>
      </c>
      <c r="O18" s="666">
        <f t="shared" si="0"/>
        <v>12908496.496375825</v>
      </c>
    </row>
    <row r="19" spans="1:15" ht="12.75" customHeight="1" x14ac:dyDescent="0.2">
      <c r="A19" s="663" t="s">
        <v>289</v>
      </c>
      <c r="B19" s="683"/>
      <c r="C19" s="665">
        <f>'F.F.M30%'!C22+'F.F.M.70%'!C22+'F.F.M.ESTIIMACIONES 2014'!C22</f>
        <v>3464570.1253980976</v>
      </c>
      <c r="D19" s="665">
        <f>'F.F.M30%'!D22+'F.F.M.70%'!D22+'F.F.M.ESTIIMACIONES 2014'!D22</f>
        <v>5662720.3983548535</v>
      </c>
      <c r="E19" s="665">
        <f>'F.F.M30%'!E22+'F.F.M.70%'!E22+'F.F.M.ESTIIMACIONES 2014'!E22</f>
        <v>4253081.7488796767</v>
      </c>
      <c r="F19" s="665">
        <f>'F.F.M30%'!F22+'F.F.M.70%'!F22+'F.F.M.ESTIIMACIONES 2014'!F22</f>
        <v>6444236.456232667</v>
      </c>
      <c r="G19" s="665">
        <f>'F.F.M30%'!G22+'F.F.M.70%'!G22+'F.F.M.ESTIIMACIONES 2014'!G22</f>
        <v>5184684.6219578218</v>
      </c>
      <c r="H19" s="665">
        <f>'F.F.M30%'!H22+'F.F.M.70%'!H22+'F.F.M.ESTIIMACIONES 2014'!H22</f>
        <v>5276154.1034155171</v>
      </c>
      <c r="I19" s="665">
        <f>'F.F.M30%'!I22+'F.F.M.70%'!I22+'F.F.M.ESTIIMACIONES 2014'!I22</f>
        <v>4222161.192851509</v>
      </c>
      <c r="J19" s="665">
        <f>'F.F.M30%'!J22+'F.F.M.70%'!J22+'F.F.M.ESTIIMACIONES 2014'!J22</f>
        <v>4942570.6161043067</v>
      </c>
      <c r="K19" s="665">
        <f>'F.F.M30%'!K22+'F.F.M.70%'!K22+'F.F.M.ESTIIMACIONES 2014'!K22</f>
        <v>3906426.0554532502</v>
      </c>
      <c r="L19" s="665">
        <f>'F.F.M30%'!L22+'F.F.M.70%'!L22+'F.F.M.ESTIIMACIONES 2014'!L22</f>
        <v>3103660.1257498036</v>
      </c>
      <c r="M19" s="665">
        <f>'F.F.M30%'!M22+'F.F.M.70%'!M22+'F.F.M.ESTIIMACIONES 2014'!M22</f>
        <v>4255588.7374235531</v>
      </c>
      <c r="N19" s="665">
        <f>'F.F.M30%'!N22+'F.F.M.70%'!N22+'F.F.M.ESTIIMACIONES 2014'!N22</f>
        <v>3663344.709484979</v>
      </c>
      <c r="O19" s="666">
        <f t="shared" si="0"/>
        <v>54379198.891306035</v>
      </c>
    </row>
    <row r="20" spans="1:15" ht="12.75" customHeight="1" x14ac:dyDescent="0.2">
      <c r="A20" s="663" t="s">
        <v>163</v>
      </c>
      <c r="B20" s="683"/>
      <c r="C20" s="665">
        <f>'F.F.M30%'!C23+'F.F.M.70%'!C23+'F.F.M.ESTIIMACIONES 2014'!C23</f>
        <v>1272226.7940573851</v>
      </c>
      <c r="D20" s="665">
        <f>'F.F.M30%'!D23+'F.F.M.70%'!D23+'F.F.M.ESTIIMACIONES 2014'!D23</f>
        <v>1574441.7331570215</v>
      </c>
      <c r="E20" s="665">
        <f>'F.F.M30%'!E23+'F.F.M.70%'!E23+'F.F.M.ESTIIMACIONES 2014'!E23</f>
        <v>1296450.6814099716</v>
      </c>
      <c r="F20" s="665">
        <f>'F.F.M30%'!F23+'F.F.M.70%'!F23+'F.F.M.ESTIIMACIONES 2014'!F23</f>
        <v>1541064.9876951128</v>
      </c>
      <c r="G20" s="665">
        <f>'F.F.M30%'!G23+'F.F.M.70%'!G23+'F.F.M.ESTIIMACIONES 2014'!G23</f>
        <v>1286686.1899540047</v>
      </c>
      <c r="H20" s="665">
        <f>'F.F.M30%'!H23+'F.F.M.70%'!H23+'F.F.M.ESTIIMACIONES 2014'!H23</f>
        <v>1360673.1619496979</v>
      </c>
      <c r="I20" s="665">
        <f>'F.F.M30%'!I23+'F.F.M.70%'!I23+'F.F.M.ESTIIMACIONES 2014'!I23</f>
        <v>1416182.4913011442</v>
      </c>
      <c r="J20" s="665">
        <f>'F.F.M30%'!J23+'F.F.M.70%'!J23+'F.F.M.ESTIIMACIONES 2014'!J23</f>
        <v>1300568.9997503897</v>
      </c>
      <c r="K20" s="665">
        <f>'F.F.M30%'!K23+'F.F.M.70%'!K23+'F.F.M.ESTIIMACIONES 2014'!K23</f>
        <v>1349360.782755299</v>
      </c>
      <c r="L20" s="665">
        <f>'F.F.M30%'!L23+'F.F.M.70%'!L23+'F.F.M.ESTIIMACIONES 2014'!L23</f>
        <v>1296192.0210753151</v>
      </c>
      <c r="M20" s="665">
        <f>'F.F.M30%'!M23+'F.F.M.70%'!M23+'F.F.M.ESTIIMACIONES 2014'!M23</f>
        <v>1256950.0937723529</v>
      </c>
      <c r="N20" s="665">
        <f>'F.F.M30%'!N23+'F.F.M.70%'!N23+'F.F.M.ESTIIMACIONES 2014'!N23</f>
        <v>1339942.8015687356</v>
      </c>
      <c r="O20" s="666">
        <f t="shared" si="0"/>
        <v>16290740.738446429</v>
      </c>
    </row>
    <row r="21" spans="1:15" ht="12.75" customHeight="1" x14ac:dyDescent="0.2">
      <c r="A21" s="663" t="s">
        <v>164</v>
      </c>
      <c r="B21" s="683"/>
      <c r="C21" s="665">
        <f>'F.F.M30%'!C24+'F.F.M.70%'!C24+'F.F.M.ESTIIMACIONES 2014'!C24</f>
        <v>14446107.595021239</v>
      </c>
      <c r="D21" s="665">
        <f>'F.F.M30%'!D24+'F.F.M.70%'!D24+'F.F.M.ESTIIMACIONES 2014'!D24</f>
        <v>18734739.471983463</v>
      </c>
      <c r="E21" s="665">
        <f>'F.F.M30%'!E24+'F.F.M.70%'!E24+'F.F.M.ESTIIMACIONES 2014'!E24</f>
        <v>15171456.434993215</v>
      </c>
      <c r="F21" s="665">
        <f>'F.F.M30%'!F24+'F.F.M.70%'!F24+'F.F.M.ESTIIMACIONES 2014'!F24</f>
        <v>18899429.343907584</v>
      </c>
      <c r="G21" s="665">
        <f>'F.F.M30%'!G24+'F.F.M.70%'!G24+'F.F.M.ESTIIMACIONES 2014'!G24</f>
        <v>15657723.942260975</v>
      </c>
      <c r="H21" s="665">
        <f>'F.F.M30%'!H24+'F.F.M.70%'!H24+'F.F.M.ESTIIMACIONES 2014'!H24</f>
        <v>16429283.876465775</v>
      </c>
      <c r="I21" s="665">
        <f>'F.F.M30%'!I24+'F.F.M.70%'!I24+'F.F.M.ESTIIMACIONES 2014'!I24</f>
        <v>16308540.965284977</v>
      </c>
      <c r="J21" s="665">
        <f>'F.F.M30%'!J24+'F.F.M.70%'!J24+'F.F.M.ESTIIMACIONES 2014'!J24</f>
        <v>15640917.688017581</v>
      </c>
      <c r="K21" s="665">
        <f>'F.F.M30%'!K24+'F.F.M.70%'!K24+'F.F.M.ESTIIMACIONES 2014'!K24</f>
        <v>15466420.625282874</v>
      </c>
      <c r="L21" s="665">
        <f>'F.F.M30%'!L24+'F.F.M.70%'!L24+'F.F.M.ESTIIMACIONES 2014'!L24</f>
        <v>14452642.751705701</v>
      </c>
      <c r="M21" s="665">
        <f>'F.F.M30%'!M24+'F.F.M.70%'!M24+'F.F.M.ESTIIMACIONES 2014'!M24</f>
        <v>14791527.287778132</v>
      </c>
      <c r="N21" s="665">
        <f>'F.F.M30%'!N24+'F.F.M.70%'!N24+'F.F.M.ESTIIMACIONES 2014'!N24</f>
        <v>15223975.545267636</v>
      </c>
      <c r="O21" s="666">
        <f t="shared" si="0"/>
        <v>191222765.52796918</v>
      </c>
    </row>
    <row r="22" spans="1:15" ht="12.75" customHeight="1" x14ac:dyDescent="0.2">
      <c r="A22" s="663" t="s">
        <v>165</v>
      </c>
      <c r="B22" s="683"/>
      <c r="C22" s="665">
        <f>'F.F.M30%'!C25+'F.F.M.70%'!C25+'F.F.M.ESTIIMACIONES 2014'!C25</f>
        <v>1531065.4289542174</v>
      </c>
      <c r="D22" s="665">
        <f>'F.F.M30%'!D25+'F.F.M.70%'!D25+'F.F.M.ESTIIMACIONES 2014'!D25</f>
        <v>2381985.6171230106</v>
      </c>
      <c r="E22" s="665">
        <f>'F.F.M30%'!E25+'F.F.M.70%'!E25+'F.F.M.ESTIIMACIONES 2014'!E25</f>
        <v>1816217.0490563987</v>
      </c>
      <c r="F22" s="665">
        <f>'F.F.M30%'!F25+'F.F.M.70%'!F25+'F.F.M.ESTIIMACIONES 2014'!F25</f>
        <v>2650914.9051685035</v>
      </c>
      <c r="G22" s="665">
        <f>'F.F.M30%'!G25+'F.F.M.70%'!G25+'F.F.M.ESTIIMACIONES 2014'!G25</f>
        <v>2143956.4758943217</v>
      </c>
      <c r="H22" s="665">
        <f>'F.F.M30%'!H25+'F.F.M.70%'!H25+'F.F.M.ESTIIMACIONES 2014'!H25</f>
        <v>2194017.9909804906</v>
      </c>
      <c r="I22" s="665">
        <f>'F.F.M30%'!I25+'F.F.M.70%'!I25+'F.F.M.ESTIIMACIONES 2014'!I25</f>
        <v>1833830.3969311437</v>
      </c>
      <c r="J22" s="665">
        <f>'F.F.M30%'!J25+'F.F.M.70%'!J25+'F.F.M.ESTIIMACIONES 2014'!J25</f>
        <v>2061487.3688103561</v>
      </c>
      <c r="K22" s="665">
        <f>'F.F.M30%'!K25+'F.F.M.70%'!K25+'F.F.M.ESTIIMACIONES 2014'!K25</f>
        <v>1706020.6522462438</v>
      </c>
      <c r="L22" s="665">
        <f>'F.F.M30%'!L25+'F.F.M.70%'!L25+'F.F.M.ESTIIMACIONES 2014'!L25</f>
        <v>1408912.3101444652</v>
      </c>
      <c r="M22" s="665">
        <f>'F.F.M30%'!M25+'F.F.M.70%'!M25+'F.F.M.ESTIIMACIONES 2014'!M25</f>
        <v>1807680.2532087993</v>
      </c>
      <c r="N22" s="665">
        <f>'F.F.M30%'!N25+'F.F.M.70%'!N25+'F.F.M.ESTIIMACIONES 2014'!N25</f>
        <v>1617649.1344044351</v>
      </c>
      <c r="O22" s="666">
        <f t="shared" si="0"/>
        <v>23153737.582922384</v>
      </c>
    </row>
    <row r="23" spans="1:15" ht="12.75" customHeight="1" thickBot="1" x14ac:dyDescent="0.25">
      <c r="A23" s="663" t="s">
        <v>166</v>
      </c>
      <c r="B23" s="683"/>
      <c r="C23" s="665">
        <f>'F.F.M30%'!C26+'F.F.M.70%'!C26+'F.F.M.ESTIIMACIONES 2014'!C26</f>
        <v>1196191.5980088143</v>
      </c>
      <c r="D23" s="665">
        <f>'F.F.M30%'!D26+'F.F.M.70%'!D26+'F.F.M.ESTIIMACIONES 2014'!D26</f>
        <v>1700611.1790134071</v>
      </c>
      <c r="E23" s="665">
        <f>'F.F.M30%'!E26+'F.F.M.70%'!E26+'F.F.M.ESTIIMACIONES 2014'!E26</f>
        <v>1334702.4455756883</v>
      </c>
      <c r="F23" s="665">
        <f>'F.F.M30%'!F26+'F.F.M.70%'!F26+'F.F.M.ESTIIMACIONES 2014'!F26</f>
        <v>1808968.692177048</v>
      </c>
      <c r="G23" s="665">
        <f>'F.F.M30%'!G26+'F.F.M.70%'!G26+'F.F.M.ESTIIMACIONES 2014'!G26</f>
        <v>1479001.7905920022</v>
      </c>
      <c r="H23" s="665">
        <f>'F.F.M30%'!H26+'F.F.M.70%'!H26+'F.F.M.ESTIIMACIONES 2014'!H26</f>
        <v>1530945.1809729133</v>
      </c>
      <c r="I23" s="665">
        <f>'F.F.M30%'!I26+'F.F.M.70%'!I26+'F.F.M.ESTIIMACIONES 2014'!I26</f>
        <v>1390098.8706004361</v>
      </c>
      <c r="J23" s="665">
        <f>'F.F.M30%'!J26+'F.F.M.70%'!J26+'F.F.M.ESTIIMACIONES 2014'!J26</f>
        <v>1447218.2262845288</v>
      </c>
      <c r="K23" s="665">
        <f>'F.F.M30%'!K26+'F.F.M.70%'!K26+'F.F.M.ESTIIMACIONES 2014'!K26</f>
        <v>1305844.9173124167</v>
      </c>
      <c r="L23" s="665">
        <f>'F.F.M30%'!L26+'F.F.M.70%'!L26+'F.F.M.ESTIIMACIONES 2014'!L26</f>
        <v>1150461.5965036151</v>
      </c>
      <c r="M23" s="665">
        <f>'F.F.M30%'!M26+'F.F.M.70%'!M26+'F.F.M.ESTIIMACIONES 2014'!M26</f>
        <v>1315194.277536788</v>
      </c>
      <c r="N23" s="665">
        <f>'F.F.M30%'!N26+'F.F.M.70%'!N26+'F.F.M.ESTIIMACIONES 2014'!N26</f>
        <v>1262161.9638712779</v>
      </c>
      <c r="O23" s="666">
        <f t="shared" si="0"/>
        <v>16921400.738448936</v>
      </c>
    </row>
    <row r="24" spans="1:15" ht="13.5" thickBot="1" x14ac:dyDescent="0.25">
      <c r="A24" s="668" t="s">
        <v>290</v>
      </c>
      <c r="B24" s="684">
        <f t="shared" ref="B24:N24" si="1">SUM(B4:B23)</f>
        <v>0</v>
      </c>
      <c r="C24" s="670">
        <f t="shared" si="1"/>
        <v>37966991.259842716</v>
      </c>
      <c r="D24" s="670">
        <f t="shared" si="1"/>
        <v>52123002.01591263</v>
      </c>
      <c r="E24" s="670">
        <f t="shared" si="1"/>
        <v>41389051.900697164</v>
      </c>
      <c r="F24" s="670">
        <f t="shared" si="1"/>
        <v>54385926.149769537</v>
      </c>
      <c r="G24" s="670">
        <f t="shared" si="1"/>
        <v>44677095.577730276</v>
      </c>
      <c r="H24" s="670">
        <f t="shared" si="1"/>
        <v>46474113.337577604</v>
      </c>
      <c r="I24" s="670">
        <f t="shared" si="1"/>
        <v>43628667.824033707</v>
      </c>
      <c r="J24" s="670">
        <f t="shared" si="1"/>
        <v>44045725.193616904</v>
      </c>
      <c r="K24" s="670">
        <f t="shared" si="1"/>
        <v>41134820.215283066</v>
      </c>
      <c r="L24" s="670">
        <f t="shared" si="1"/>
        <v>37090165.621511504</v>
      </c>
      <c r="M24" s="670">
        <f t="shared" si="1"/>
        <v>40621440.963669814</v>
      </c>
      <c r="N24" s="670">
        <f t="shared" si="1"/>
        <v>40041509.940355048</v>
      </c>
      <c r="O24" s="670">
        <f t="shared" si="0"/>
        <v>523578510.00000012</v>
      </c>
    </row>
    <row r="25" spans="1:15" x14ac:dyDescent="0.2">
      <c r="A25" s="671"/>
      <c r="B25" s="671"/>
      <c r="C25" s="671"/>
      <c r="D25" s="671"/>
      <c r="E25" s="671"/>
      <c r="F25" s="671"/>
      <c r="G25" s="671"/>
      <c r="H25" s="671"/>
      <c r="I25" s="671"/>
      <c r="J25" s="671"/>
      <c r="K25" s="671"/>
      <c r="L25" s="671"/>
      <c r="M25" s="671"/>
      <c r="N25" s="671"/>
      <c r="O25" s="671"/>
    </row>
    <row r="26" spans="1:15" x14ac:dyDescent="0.2">
      <c r="A26" s="672" t="s">
        <v>291</v>
      </c>
      <c r="M26" s="667"/>
      <c r="O26" s="667"/>
    </row>
    <row r="27" spans="1:15" x14ac:dyDescent="0.2">
      <c r="O27" s="667"/>
    </row>
    <row r="28" spans="1:15" x14ac:dyDescent="0.2">
      <c r="M28" s="667"/>
    </row>
    <row r="29" spans="1:15" x14ac:dyDescent="0.2">
      <c r="O29" s="667"/>
    </row>
  </sheetData>
  <mergeCells count="1">
    <mergeCell ref="A1:O1"/>
  </mergeCells>
  <printOptions horizontalCentered="1"/>
  <pageMargins left="0.70866141732283472" right="0.47244094488188981" top="0.98425196850393704" bottom="0.98425196850393704" header="0" footer="0"/>
  <pageSetup paperSize="5"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7">
    <tabColor rgb="FFFFFF00"/>
  </sheetPr>
  <dimension ref="A1:Q26"/>
  <sheetViews>
    <sheetView workbookViewId="0">
      <selection activeCell="B32" sqref="B32"/>
    </sheetView>
  </sheetViews>
  <sheetFormatPr baseColWidth="10" defaultRowHeight="12.75" x14ac:dyDescent="0.2"/>
  <cols>
    <col min="1" max="1" width="16.5703125" style="658" customWidth="1"/>
    <col min="2" max="2" width="9.28515625" style="658" hidden="1" customWidth="1"/>
    <col min="3" max="7" width="7.85546875" style="658" bestFit="1" customWidth="1"/>
    <col min="8" max="10" width="7.85546875" style="658" customWidth="1"/>
    <col min="11" max="11" width="9.42578125" style="658" customWidth="1"/>
    <col min="12" max="12" width="7.85546875" style="658" customWidth="1"/>
    <col min="13" max="13" width="9.7109375" style="658" customWidth="1"/>
    <col min="14" max="14" width="9" style="658" customWidth="1"/>
    <col min="15" max="15" width="8.7109375" style="658" bestFit="1" customWidth="1"/>
    <col min="16" max="16" width="12.7109375" style="658" bestFit="1" customWidth="1"/>
    <col min="17" max="16384" width="11.42578125" style="658"/>
  </cols>
  <sheetData>
    <row r="1" spans="1:17" x14ac:dyDescent="0.2">
      <c r="A1" s="1021" t="s">
        <v>434</v>
      </c>
      <c r="B1" s="1021"/>
      <c r="C1" s="1021"/>
      <c r="D1" s="1021"/>
      <c r="E1" s="1021"/>
      <c r="F1" s="1021"/>
      <c r="G1" s="1021"/>
      <c r="H1" s="1021"/>
      <c r="I1" s="1021"/>
      <c r="J1" s="1021"/>
      <c r="K1" s="1021"/>
      <c r="L1" s="1021"/>
      <c r="M1" s="1021"/>
      <c r="N1" s="1021"/>
      <c r="O1" s="1021"/>
    </row>
    <row r="2" spans="1:17" ht="13.5" thickBot="1" x14ac:dyDescent="0.25"/>
    <row r="3" spans="1:17" ht="23.25" thickBot="1" x14ac:dyDescent="0.25">
      <c r="A3" s="659" t="s">
        <v>351</v>
      </c>
      <c r="B3" s="660" t="s">
        <v>283</v>
      </c>
      <c r="C3" s="659" t="s">
        <v>1</v>
      </c>
      <c r="D3" s="661" t="s">
        <v>2</v>
      </c>
      <c r="E3" s="659" t="s">
        <v>3</v>
      </c>
      <c r="F3" s="661" t="s">
        <v>4</v>
      </c>
      <c r="G3" s="659" t="s">
        <v>5</v>
      </c>
      <c r="H3" s="659" t="s">
        <v>6</v>
      </c>
      <c r="I3" s="659" t="s">
        <v>7</v>
      </c>
      <c r="J3" s="661" t="s">
        <v>8</v>
      </c>
      <c r="K3" s="659" t="s">
        <v>9</v>
      </c>
      <c r="L3" s="661" t="s">
        <v>10</v>
      </c>
      <c r="M3" s="659" t="s">
        <v>11</v>
      </c>
      <c r="N3" s="659" t="s">
        <v>12</v>
      </c>
      <c r="O3" s="662" t="s">
        <v>169</v>
      </c>
    </row>
    <row r="4" spans="1:17" ht="12.75" customHeight="1" x14ac:dyDescent="0.2">
      <c r="A4" s="663" t="s">
        <v>284</v>
      </c>
      <c r="B4" s="674"/>
      <c r="C4" s="665">
        <f>'[5] FOCO INCREMENTO'!C7+'[5] FOCO ESTIMACION'!C7</f>
        <v>293071.38094113616</v>
      </c>
      <c r="D4" s="665">
        <f>'[5] FOCO INCREMENTO'!D7+'[5] FOCO ESTIMACION'!D7</f>
        <v>295230.63445575966</v>
      </c>
      <c r="E4" s="665">
        <f>'[5] FOCO INCREMENTO'!E7+'[5] FOCO ESTIMACION'!E7</f>
        <v>287468.89670337556</v>
      </c>
      <c r="F4" s="665">
        <f>'[5] FOCO INCREMENTO'!F7+'[5] FOCO ESTIMACION'!F7</f>
        <v>305241.69569530652</v>
      </c>
      <c r="G4" s="665">
        <f>'[5] FOCO INCREMENTO'!G7+'[5] FOCO ESTIMACION'!G7</f>
        <v>302443.59145698301</v>
      </c>
      <c r="H4" s="665">
        <f>'[5] FOCO INCREMENTO'!H7+'[5] FOCO ESTIMACION'!H7</f>
        <v>310935.35706946446</v>
      </c>
      <c r="I4" s="665">
        <f>'[5] FOCO INCREMENTO'!I7+'[5] FOCO ESTIMACION'!I7</f>
        <v>299723.71469322289</v>
      </c>
      <c r="J4" s="665">
        <f>'[5] FOCO INCREMENTO'!J7+'[5] FOCO ESTIMACION'!J7</f>
        <v>303799.93898461858</v>
      </c>
      <c r="K4" s="665">
        <f>'[5] FOCO INCREMENTO'!K7+'[5] FOCO ESTIMACION'!K7</f>
        <v>295860.99207054696</v>
      </c>
      <c r="L4" s="665">
        <f>'[5] FOCO INCREMENTO'!L7+'[5] FOCO ESTIMACION'!L7</f>
        <v>287253.18242701917</v>
      </c>
      <c r="M4" s="665">
        <f>'[5] FOCO INCREMENTO'!M7+'[5] FOCO ESTIMACION'!M7</f>
        <v>292569.28234723891</v>
      </c>
      <c r="N4" s="665">
        <f>'[5] FOCO INCREMENTO'!N7+'[5] FOCO ESTIMACION'!N7</f>
        <v>271071.73589895893</v>
      </c>
      <c r="O4" s="666">
        <f>SUM(C4:N4)</f>
        <v>3544670.402743631</v>
      </c>
      <c r="P4" s="667"/>
      <c r="Q4" s="667"/>
    </row>
    <row r="5" spans="1:17" ht="12.75" customHeight="1" x14ac:dyDescent="0.2">
      <c r="A5" s="663" t="s">
        <v>148</v>
      </c>
      <c r="B5" s="675"/>
      <c r="C5" s="665">
        <f>'[5] FOCO INCREMENTO'!C8+'[5] FOCO ESTIMACION'!C8</f>
        <v>167923.75088356718</v>
      </c>
      <c r="D5" s="665">
        <f>'[5] FOCO INCREMENTO'!D8+'[5] FOCO ESTIMACION'!D8</f>
        <v>169316.44590889825</v>
      </c>
      <c r="E5" s="665">
        <f>'[5] FOCO INCREMENTO'!E8+'[5] FOCO ESTIMACION'!E8</f>
        <v>143476.72168163006</v>
      </c>
      <c r="F5" s="665">
        <f>'[5] FOCO INCREMENTO'!F8+'[5] FOCO ESTIMACION'!F8</f>
        <v>167657.19351858451</v>
      </c>
      <c r="G5" s="665">
        <f>'[5] FOCO INCREMENTO'!G8+'[5] FOCO ESTIMACION'!G8</f>
        <v>155148.51064548985</v>
      </c>
      <c r="H5" s="665">
        <f>'[5] FOCO INCREMENTO'!H8+'[5] FOCO ESTIMACION'!H8</f>
        <v>169816.08130581549</v>
      </c>
      <c r="I5" s="665">
        <f>'[5] FOCO INCREMENTO'!I8+'[5] FOCO ESTIMACION'!I8</f>
        <v>152989.85268948891</v>
      </c>
      <c r="J5" s="665">
        <f>'[5] FOCO INCREMENTO'!J8+'[5] FOCO ESTIMACION'!J8</f>
        <v>158269.95750445744</v>
      </c>
      <c r="K5" s="665">
        <f>'[5] FOCO INCREMENTO'!K8+'[5] FOCO ESTIMACION'!K8</f>
        <v>157137.50561906997</v>
      </c>
      <c r="L5" s="665">
        <f>'[5] FOCO INCREMENTO'!L8+'[5] FOCO ESTIMACION'!L8</f>
        <v>140750.05808218033</v>
      </c>
      <c r="M5" s="665">
        <f>'[5] FOCO INCREMENTO'!M8+'[5] FOCO ESTIMACION'!M8</f>
        <v>151776.72747538111</v>
      </c>
      <c r="N5" s="665">
        <f>'[5] FOCO INCREMENTO'!N8+'[5] FOCO ESTIMACION'!N8</f>
        <v>168514.19251680683</v>
      </c>
      <c r="O5" s="666">
        <f t="shared" ref="O5:O23" si="0">SUM(C5:N5)</f>
        <v>1902776.99783137</v>
      </c>
      <c r="P5" s="667"/>
    </row>
    <row r="6" spans="1:17" ht="12.75" customHeight="1" x14ac:dyDescent="0.2">
      <c r="A6" s="663" t="s">
        <v>149</v>
      </c>
      <c r="B6" s="675"/>
      <c r="C6" s="665">
        <f>'[5] FOCO INCREMENTO'!C9+'[5] FOCO ESTIMACION'!C9</f>
        <v>162497.33002536252</v>
      </c>
      <c r="D6" s="665">
        <f>'[5] FOCO INCREMENTO'!D9+'[5] FOCO ESTIMACION'!D9</f>
        <v>163917.36695336353</v>
      </c>
      <c r="E6" s="665">
        <f>'[5] FOCO INCREMENTO'!E9+'[5] FOCO ESTIMACION'!E9</f>
        <v>128959.04112502883</v>
      </c>
      <c r="F6" s="665">
        <f>'[5] FOCO INCREMENTO'!F9+'[5] FOCO ESTIMACION'!F9</f>
        <v>158870.7599967175</v>
      </c>
      <c r="G6" s="665">
        <f>'[5] FOCO INCREMENTO'!G9+'[5] FOCO ESTIMACION'!G9</f>
        <v>141692.14083376186</v>
      </c>
      <c r="H6" s="665">
        <f>'[5] FOCO INCREMENTO'!H9+'[5] FOCO ESTIMACION'!H9</f>
        <v>160446.45806968526</v>
      </c>
      <c r="I6" s="665">
        <f>'[5] FOCO INCREMENTO'!I9+'[5] FOCO ESTIMACION'!I9</f>
        <v>139323.96237907078</v>
      </c>
      <c r="J6" s="665">
        <f>'[5] FOCO INCREMENTO'!J9+'[5] FOCO ESTIMACION'!J9</f>
        <v>145803.48516778366</v>
      </c>
      <c r="K6" s="665">
        <f>'[5] FOCO INCREMENTO'!K9+'[5] FOCO ESTIMACION'!K9</f>
        <v>146297.23320160009</v>
      </c>
      <c r="L6" s="665">
        <f>'[5] FOCO INCREMENTO'!L9+'[5] FOCO ESTIMACION'!L9</f>
        <v>125109.31781222334</v>
      </c>
      <c r="M6" s="665">
        <f>'[5] FOCO INCREMENTO'!M9+'[5] FOCO ESTIMACION'!M9</f>
        <v>139492.95653689533</v>
      </c>
      <c r="N6" s="665">
        <f>'[5] FOCO INCREMENTO'!N9+'[5] FOCO ESTIMACION'!N9</f>
        <v>169208.51245931126</v>
      </c>
      <c r="O6" s="666">
        <f t="shared" si="0"/>
        <v>1781618.5645608038</v>
      </c>
      <c r="P6" s="667"/>
    </row>
    <row r="7" spans="1:17" ht="12.75" customHeight="1" x14ac:dyDescent="0.2">
      <c r="A7" s="663" t="s">
        <v>285</v>
      </c>
      <c r="B7" s="675"/>
      <c r="C7" s="665">
        <f>'[5] FOCO INCREMENTO'!C10+'[5] FOCO ESTIMACION'!C10</f>
        <v>648950.14567954827</v>
      </c>
      <c r="D7" s="665">
        <f>'[5] FOCO INCREMENTO'!D10+'[5] FOCO ESTIMACION'!D10</f>
        <v>653955.33323754231</v>
      </c>
      <c r="E7" s="665">
        <f>'[5] FOCO INCREMENTO'!E10+'[5] FOCO ESTIMACION'!E10</f>
        <v>605958.76980175229</v>
      </c>
      <c r="F7" s="665">
        <f>'[5] FOCO INCREMENTO'!F10+'[5] FOCO ESTIMACION'!F10</f>
        <v>665471.95690336078</v>
      </c>
      <c r="G7" s="665">
        <f>'[5] FOCO INCREMENTO'!G10+'[5] FOCO ESTIMACION'!G10</f>
        <v>643569.9239145224</v>
      </c>
      <c r="H7" s="665">
        <f>'[5] FOCO INCREMENTO'!H10+'[5] FOCO ESTIMACION'!H10</f>
        <v>676490.25220666104</v>
      </c>
      <c r="I7" s="665">
        <f>'[5] FOCO INCREMENTO'!I10+'[5] FOCO ESTIMACION'!I10</f>
        <v>636682.82601613738</v>
      </c>
      <c r="J7" s="665">
        <f>'[5] FOCO INCREMENTO'!J10+'[5] FOCO ESTIMACION'!J10</f>
        <v>649949.57533782744</v>
      </c>
      <c r="K7" s="665">
        <f>'[5] FOCO INCREMENTO'!K10+'[5] FOCO ESTIMACION'!K10</f>
        <v>637290.65657251002</v>
      </c>
      <c r="L7" s="665">
        <f>'[5] FOCO INCREMENTO'!L10+'[5] FOCO ESTIMACION'!L10</f>
        <v>601732.138300444</v>
      </c>
      <c r="M7" s="665">
        <f>'[5] FOCO INCREMENTO'!M10+'[5] FOCO ESTIMACION'!M10</f>
        <v>624997.48473503243</v>
      </c>
      <c r="N7" s="665">
        <f>'[5] FOCO INCREMENTO'!N10+'[5] FOCO ESTIMACION'!N10</f>
        <v>619240.93385230529</v>
      </c>
      <c r="O7" s="666">
        <f t="shared" si="0"/>
        <v>7664289.9965576446</v>
      </c>
      <c r="P7" s="667"/>
    </row>
    <row r="8" spans="1:17" ht="12.75" customHeight="1" x14ac:dyDescent="0.2">
      <c r="A8" s="663" t="s">
        <v>151</v>
      </c>
      <c r="B8" s="675"/>
      <c r="C8" s="665">
        <f>'[5] FOCO INCREMENTO'!C11+'[5] FOCO ESTIMACION'!C11</f>
        <v>471383.47329630965</v>
      </c>
      <c r="D8" s="665">
        <f>'[5] FOCO INCREMENTO'!D11+'[5] FOCO ESTIMACION'!D11</f>
        <v>474836.25750203704</v>
      </c>
      <c r="E8" s="665">
        <f>'[5] FOCO INCREMENTO'!E11+'[5] FOCO ESTIMACION'!E11</f>
        <v>465133.18937778141</v>
      </c>
      <c r="F8" s="665">
        <f>'[5] FOCO INCREMENTO'!F11+'[5] FOCO ESTIMACION'!F11</f>
        <v>491899.73568948405</v>
      </c>
      <c r="G8" s="665">
        <f>'[5] FOCO INCREMENTO'!G11+'[5] FOCO ESTIMACION'!G11</f>
        <v>488816.94766019669</v>
      </c>
      <c r="H8" s="665">
        <f>'[5] FOCO INCREMENTO'!H11+'[5] FOCO ESTIMACION'!H11</f>
        <v>501201.02044914151</v>
      </c>
      <c r="I8" s="665">
        <f>'[5] FOCO INCREMENTO'!I11+'[5] FOCO ESTIMACION'!I11</f>
        <v>484520.26060342306</v>
      </c>
      <c r="J8" s="665">
        <f>'[5] FOCO INCREMENTO'!J11+'[5] FOCO ESTIMACION'!J11</f>
        <v>490693.7636842819</v>
      </c>
      <c r="K8" s="665">
        <f>'[5] FOCO INCREMENTO'!K11+'[5] FOCO ESTIMACION'!K11</f>
        <v>477480.41233588377</v>
      </c>
      <c r="L8" s="665">
        <f>'[5] FOCO INCREMENTO'!L11+'[5] FOCO ESTIMACION'!L11</f>
        <v>465124.6389111054</v>
      </c>
      <c r="M8" s="665">
        <f>'[5] FOCO INCREMENTO'!M11+'[5] FOCO ESTIMACION'!M11</f>
        <v>472637.66870605573</v>
      </c>
      <c r="N8" s="665">
        <f>'[5] FOCO INCREMENTO'!N11+'[5] FOCO ESTIMACION'!N11</f>
        <v>434283.17430317326</v>
      </c>
      <c r="O8" s="666">
        <f t="shared" si="0"/>
        <v>5718010.5425188737</v>
      </c>
      <c r="P8" s="667"/>
    </row>
    <row r="9" spans="1:17" ht="12.75" customHeight="1" x14ac:dyDescent="0.2">
      <c r="A9" s="663" t="s">
        <v>286</v>
      </c>
      <c r="B9" s="675"/>
      <c r="C9" s="665">
        <f>'[5] FOCO INCREMENTO'!C12+'[5] FOCO ESTIMACION'!C12</f>
        <v>495784.42770370154</v>
      </c>
      <c r="D9" s="665">
        <f>'[5] FOCO INCREMENTO'!D12+'[5] FOCO ESTIMACION'!D12</f>
        <v>499216.59407409781</v>
      </c>
      <c r="E9" s="665">
        <f>'[5] FOCO INCREMENTO'!E12+'[5] FOCO ESTIMACION'!E12</f>
        <v>516438.24173897039</v>
      </c>
      <c r="F9" s="665">
        <f>'[5] FOCO INCREMENTO'!F12+'[5] FOCO ESTIMACION'!F12</f>
        <v>526644.89675602317</v>
      </c>
      <c r="G9" s="665">
        <f>'[5] FOCO INCREMENTO'!G12+'[5] FOCO ESTIMACION'!G12</f>
        <v>537384.26656664128</v>
      </c>
      <c r="H9" s="665">
        <f>'[5] FOCO INCREMENTO'!H12+'[5] FOCO ESTIMACION'!H12</f>
        <v>537842.39396935108</v>
      </c>
      <c r="I9" s="665">
        <f>'[5] FOCO INCREMENTO'!I12+'[5] FOCO ESTIMACION'!I12</f>
        <v>533634.70656488149</v>
      </c>
      <c r="J9" s="665">
        <f>'[5] FOCO INCREMENTO'!J12+'[5] FOCO ESTIMACION'!J12</f>
        <v>536352.64733775321</v>
      </c>
      <c r="K9" s="665">
        <f>'[5] FOCO INCREMENTO'!K12+'[5] FOCO ESTIMACION'!K12</f>
        <v>518075.18389640079</v>
      </c>
      <c r="L9" s="665">
        <f>'[5] FOCO INCREMENTO'!L12+'[5] FOCO ESTIMACION'!L12</f>
        <v>519766.61006429675</v>
      </c>
      <c r="M9" s="665">
        <f>'[5] FOCO INCREMENTO'!M12+'[5] FOCO ESTIMACION'!M12</f>
        <v>517436.63183014223</v>
      </c>
      <c r="N9" s="665">
        <f>'[5] FOCO INCREMENTO'!N12+'[5] FOCO ESTIMACION'!N12</f>
        <v>439845.47884661314</v>
      </c>
      <c r="O9" s="666">
        <f t="shared" si="0"/>
        <v>6178422.0793488724</v>
      </c>
      <c r="P9" s="667"/>
    </row>
    <row r="10" spans="1:17" ht="12.75" customHeight="1" x14ac:dyDescent="0.2">
      <c r="A10" s="663" t="s">
        <v>153</v>
      </c>
      <c r="B10" s="675"/>
      <c r="C10" s="665">
        <f>'[5] FOCO INCREMENTO'!C13+'[5] FOCO ESTIMACION'!C13</f>
        <v>198742.42751254898</v>
      </c>
      <c r="D10" s="665">
        <f>'[5] FOCO INCREMENTO'!D13+'[5] FOCO ESTIMACION'!D13</f>
        <v>200370.80165246839</v>
      </c>
      <c r="E10" s="665">
        <f>'[5] FOCO INCREMENTO'!E13+'[5] FOCO ESTIMACION'!E13</f>
        <v>172529.29132417578</v>
      </c>
      <c r="F10" s="665">
        <f>'[5] FOCO INCREMENTO'!F13+'[5] FOCO ESTIMACION'!F13</f>
        <v>199354.43170012755</v>
      </c>
      <c r="G10" s="665">
        <f>'[5] FOCO INCREMENTO'!G13+'[5] FOCO ESTIMACION'!G13</f>
        <v>185947.12146230042</v>
      </c>
      <c r="H10" s="665">
        <f>'[5] FOCO INCREMENTO'!H13+'[5] FOCO ESTIMACION'!H13</f>
        <v>202050.89665968972</v>
      </c>
      <c r="I10" s="665">
        <f>'[5] FOCO INCREMENTO'!I13+'[5] FOCO ESTIMACION'!I13</f>
        <v>183469.18297952466</v>
      </c>
      <c r="J10" s="665">
        <f>'[5] FOCO INCREMENTO'!J13+'[5] FOCO ESTIMACION'!J13</f>
        <v>189341.12043138896</v>
      </c>
      <c r="K10" s="665">
        <f>'[5] FOCO INCREMENTO'!K13+'[5] FOCO ESTIMACION'!K13</f>
        <v>187563.16699302883</v>
      </c>
      <c r="L10" s="665">
        <f>'[5] FOCO INCREMENTO'!L13+'[5] FOCO ESTIMACION'!L13</f>
        <v>169635.68033925485</v>
      </c>
      <c r="M10" s="665">
        <f>'[5] FOCO INCREMENTO'!M13+'[5] FOCO ESTIMACION'!M13</f>
        <v>181663.67075794237</v>
      </c>
      <c r="N10" s="665">
        <f>'[5] FOCO INCREMENTO'!N13+'[5] FOCO ESTIMACION'!N13</f>
        <v>197750.75778297905</v>
      </c>
      <c r="O10" s="666">
        <f t="shared" si="0"/>
        <v>2268418.5495954296</v>
      </c>
      <c r="P10" s="667"/>
    </row>
    <row r="11" spans="1:17" ht="12.75" customHeight="1" x14ac:dyDescent="0.2">
      <c r="A11" s="663" t="s">
        <v>154</v>
      </c>
      <c r="B11" s="675"/>
      <c r="C11" s="665">
        <f>'[5] FOCO INCREMENTO'!C14+'[5] FOCO ESTIMACION'!C14</f>
        <v>222371.49636443221</v>
      </c>
      <c r="D11" s="665">
        <f>'[5] FOCO INCREMENTO'!D14+'[5] FOCO ESTIMACION'!D14</f>
        <v>224071.95718349898</v>
      </c>
      <c r="E11" s="665">
        <f>'[5] FOCO INCREMENTO'!E14+'[5] FOCO ESTIMACION'!E14</f>
        <v>209638.67191565505</v>
      </c>
      <c r="F11" s="665">
        <f>'[5] FOCO INCREMENTO'!F14+'[5] FOCO ESTIMACION'!F14</f>
        <v>228714.31185895676</v>
      </c>
      <c r="G11" s="665">
        <f>'[5] FOCO INCREMENTO'!G14+'[5] FOCO ESTIMACION'!G14</f>
        <v>222235.66834534577</v>
      </c>
      <c r="H11" s="665">
        <f>'[5] FOCO INCREMENTO'!H14+'[5] FOCO ESTIMACION'!H14</f>
        <v>232593.73300999656</v>
      </c>
      <c r="I11" s="665">
        <f>'[5] FOCO INCREMENTO'!I14+'[5] FOCO ESTIMACION'!I14</f>
        <v>219932.20285984827</v>
      </c>
      <c r="J11" s="665">
        <f>'[5] FOCO INCREMENTO'!J14+'[5] FOCO ESTIMACION'!J14</f>
        <v>224201.10509026566</v>
      </c>
      <c r="K11" s="665">
        <f>'[5] FOCO INCREMENTO'!K14+'[5] FOCO ESTIMACION'!K14</f>
        <v>219541.81624763118</v>
      </c>
      <c r="L11" s="665">
        <f>'[5] FOCO INCREMENTO'!L14+'[5] FOCO ESTIMACION'!L14</f>
        <v>208435.35151326659</v>
      </c>
      <c r="M11" s="665">
        <f>'[5] FOCO INCREMENTO'!M14+'[5] FOCO ESTIMACION'!M14</f>
        <v>215656.42256975552</v>
      </c>
      <c r="N11" s="665">
        <f>'[5] FOCO INCREMENTO'!N14+'[5] FOCO ESTIMACION'!N14</f>
        <v>210949.29260480555</v>
      </c>
      <c r="O11" s="666">
        <f t="shared" si="0"/>
        <v>2638342.0295634577</v>
      </c>
      <c r="P11" s="667"/>
    </row>
    <row r="12" spans="1:17" ht="12.75" customHeight="1" x14ac:dyDescent="0.2">
      <c r="A12" s="663" t="s">
        <v>155</v>
      </c>
      <c r="B12" s="675"/>
      <c r="C12" s="665">
        <f>'[5] FOCO INCREMENTO'!C15+'[5] FOCO ESTIMACION'!C15</f>
        <v>202946.21048486899</v>
      </c>
      <c r="D12" s="665">
        <f>'[5] FOCO INCREMENTO'!D15+'[5] FOCO ESTIMACION'!D15</f>
        <v>204536.57748429695</v>
      </c>
      <c r="E12" s="665">
        <f>'[5] FOCO INCREMENTO'!E15+'[5] FOCO ESTIMACION'!E15</f>
        <v>186074.05675057671</v>
      </c>
      <c r="F12" s="665">
        <f>'[5] FOCO INCREMENTO'!F15+'[5] FOCO ESTIMACION'!F15</f>
        <v>206944.62030849885</v>
      </c>
      <c r="G12" s="665">
        <f>'[5] FOCO INCREMENTO'!G15+'[5] FOCO ESTIMACION'!G15</f>
        <v>198335.15322998998</v>
      </c>
      <c r="H12" s="665">
        <f>'[5] FOCO INCREMENTO'!H15+'[5] FOCO ESTIMACION'!H15</f>
        <v>210212.28316799866</v>
      </c>
      <c r="I12" s="665">
        <f>'[5] FOCO INCREMENTO'!I15+'[5] FOCO ESTIMACION'!I15</f>
        <v>196084.47945937552</v>
      </c>
      <c r="J12" s="665">
        <f>'[5] FOCO INCREMENTO'!J15+'[5] FOCO ESTIMACION'!J15</f>
        <v>200708.6100901358</v>
      </c>
      <c r="K12" s="665">
        <f>'[5] FOCO INCREMENTO'!K15+'[5] FOCO ESTIMACION'!K15</f>
        <v>197301.16338629025</v>
      </c>
      <c r="L12" s="665">
        <f>'[5] FOCO INCREMENTO'!L15+'[5] FOCO ESTIMACION'!L15</f>
        <v>184332.14972644288</v>
      </c>
      <c r="M12" s="665">
        <f>'[5] FOCO INCREMENTO'!M15+'[5] FOCO ESTIMACION'!M15</f>
        <v>192895.9325505317</v>
      </c>
      <c r="N12" s="665">
        <f>'[5] FOCO INCREMENTO'!N15+'[5] FOCO ESTIMACION'!N15</f>
        <v>195784.93325843912</v>
      </c>
      <c r="O12" s="666">
        <f t="shared" si="0"/>
        <v>2376156.1698974455</v>
      </c>
      <c r="P12" s="667"/>
    </row>
    <row r="13" spans="1:17" ht="12.75" customHeight="1" x14ac:dyDescent="0.2">
      <c r="A13" s="663" t="s">
        <v>156</v>
      </c>
      <c r="B13" s="675"/>
      <c r="C13" s="665">
        <f>'[5] FOCO INCREMENTO'!C16+'[5] FOCO ESTIMACION'!C16</f>
        <v>211173.39319915246</v>
      </c>
      <c r="D13" s="665">
        <f>'[5] FOCO INCREMENTO'!D16+'[5] FOCO ESTIMACION'!D16</f>
        <v>212851.63404335736</v>
      </c>
      <c r="E13" s="665">
        <f>'[5] FOCO INCREMENTO'!E16+'[5] FOCO ESTIMACION'!E16</f>
        <v>190420.91243974486</v>
      </c>
      <c r="F13" s="665">
        <f>'[5] FOCO INCREMENTO'!F16+'[5] FOCO ESTIMACION'!F16</f>
        <v>214244.22347089899</v>
      </c>
      <c r="G13" s="665">
        <f>'[5] FOCO INCREMENTO'!G16+'[5] FOCO ESTIMACION'!G16</f>
        <v>203644.37281966404</v>
      </c>
      <c r="H13" s="665">
        <f>'[5] FOCO INCREMENTO'!H16+'[5] FOCO ESTIMACION'!H16</f>
        <v>217478.27232058064</v>
      </c>
      <c r="I13" s="665">
        <f>'[5] FOCO INCREMENTO'!I16+'[5] FOCO ESTIMACION'!I16</f>
        <v>201212.12012910549</v>
      </c>
      <c r="J13" s="665">
        <f>'[5] FOCO INCREMENTO'!J16+'[5] FOCO ESTIMACION'!J16</f>
        <v>206466.88343932666</v>
      </c>
      <c r="K13" s="665">
        <f>'[5] FOCO INCREMENTO'!K16+'[5] FOCO ESTIMACION'!K16</f>
        <v>203435.50232384904</v>
      </c>
      <c r="L13" s="665">
        <f>'[5] FOCO INCREMENTO'!L16+'[5] FOCO ESTIMACION'!L16</f>
        <v>188216.60578401005</v>
      </c>
      <c r="M13" s="665">
        <f>'[5] FOCO INCREMENTO'!M16+'[5] FOCO ESTIMACION'!M16</f>
        <v>198328.71523021645</v>
      </c>
      <c r="N13" s="665">
        <f>'[5] FOCO INCREMENTO'!N16+'[5] FOCO ESTIMACION'!N16</f>
        <v>205707.89194817905</v>
      </c>
      <c r="O13" s="666">
        <f t="shared" si="0"/>
        <v>2453180.5271480847</v>
      </c>
      <c r="P13" s="667"/>
    </row>
    <row r="14" spans="1:17" ht="12.75" customHeight="1" x14ac:dyDescent="0.2">
      <c r="A14" s="663" t="s">
        <v>157</v>
      </c>
      <c r="B14" s="675"/>
      <c r="C14" s="665">
        <f>'[5] FOCO INCREMENTO'!C17+'[5] FOCO ESTIMACION'!C17</f>
        <v>362749.75476246886</v>
      </c>
      <c r="D14" s="665">
        <f>'[5] FOCO INCREMENTO'!D17+'[5] FOCO ESTIMACION'!D17</f>
        <v>365328.42657435418</v>
      </c>
      <c r="E14" s="665">
        <f>'[5] FOCO INCREMENTO'!E17+'[5] FOCO ESTIMACION'!E17</f>
        <v>368647.04557774641</v>
      </c>
      <c r="F14" s="665">
        <f>'[5] FOCO INCREMENTO'!F17+'[5] FOCO ESTIMACION'!F17</f>
        <v>382188.07818719157</v>
      </c>
      <c r="G14" s="665">
        <f>'[5] FOCO INCREMENTO'!G17+'[5] FOCO ESTIMACION'!G17</f>
        <v>385313.9982969485</v>
      </c>
      <c r="H14" s="665">
        <f>'[5] FOCO INCREMENTO'!H17+'[5] FOCO ESTIMACION'!H17</f>
        <v>389902.15348591068</v>
      </c>
      <c r="I14" s="665">
        <f>'[5] FOCO INCREMENTO'!I17+'[5] FOCO ESTIMACION'!I17</f>
        <v>382310.13323772058</v>
      </c>
      <c r="J14" s="665">
        <f>'[5] FOCO INCREMENTO'!J17+'[5] FOCO ESTIMACION'!J17</f>
        <v>385576.35417967639</v>
      </c>
      <c r="K14" s="665">
        <f>'[5] FOCO INCREMENTO'!K17+'[5] FOCO ESTIMACION'!K17</f>
        <v>373685.64819216164</v>
      </c>
      <c r="L14" s="665">
        <f>'[5] FOCO INCREMENTO'!L17+'[5] FOCO ESTIMACION'!L17</f>
        <v>369952.86852338718</v>
      </c>
      <c r="M14" s="665">
        <f>'[5] FOCO INCREMENTO'!M17+'[5] FOCO ESTIMACION'!M17</f>
        <v>371710.8096164937</v>
      </c>
      <c r="N14" s="665">
        <f>'[5] FOCO INCREMENTO'!N17+'[5] FOCO ESTIMACION'!N17</f>
        <v>327546.49027063942</v>
      </c>
      <c r="O14" s="666">
        <f t="shared" si="0"/>
        <v>4464911.7609046986</v>
      </c>
      <c r="P14" s="667"/>
    </row>
    <row r="15" spans="1:17" ht="12.75" customHeight="1" x14ac:dyDescent="0.2">
      <c r="A15" s="663" t="s">
        <v>158</v>
      </c>
      <c r="B15" s="675"/>
      <c r="C15" s="665">
        <f>'[5] FOCO INCREMENTO'!C18+'[5] FOCO ESTIMACION'!C18</f>
        <v>216262.67584227401</v>
      </c>
      <c r="D15" s="665">
        <f>'[5] FOCO INCREMENTO'!D18+'[5] FOCO ESTIMACION'!D18</f>
        <v>217921.10448853194</v>
      </c>
      <c r="E15" s="665">
        <f>'[5] FOCO INCREMENTO'!E18+'[5] FOCO ESTIMACION'!E18</f>
        <v>203240.21502094792</v>
      </c>
      <c r="F15" s="665">
        <f>'[5] FOCO INCREMENTO'!F18+'[5] FOCO ESTIMACION'!F18</f>
        <v>222213.26031237282</v>
      </c>
      <c r="G15" s="665">
        <f>'[5] FOCO INCREMENTO'!G18+'[5] FOCO ESTIMACION'!G18</f>
        <v>215584.24147516565</v>
      </c>
      <c r="H15" s="665">
        <f>'[5] FOCO INCREMENTO'!H18+'[5] FOCO ESTIMACION'!H18</f>
        <v>225952.88484358616</v>
      </c>
      <c r="I15" s="665">
        <f>'[5] FOCO INCREMENTO'!I18+'[5] FOCO ESTIMACION'!I18</f>
        <v>213325.9828376252</v>
      </c>
      <c r="J15" s="665">
        <f>'[5] FOCO INCREMENTO'!J18+'[5] FOCO ESTIMACION'!J18</f>
        <v>217566.2694451104</v>
      </c>
      <c r="K15" s="665">
        <f>'[5] FOCO INCREMENTO'!K18+'[5] FOCO ESTIMACION'!K18</f>
        <v>213137.8414201191</v>
      </c>
      <c r="L15" s="665">
        <f>'[5] FOCO INCREMENTO'!L18+'[5] FOCO ESTIMACION'!L18</f>
        <v>201991.57563331269</v>
      </c>
      <c r="M15" s="665">
        <f>'[5] FOCO INCREMENTO'!M18+'[5] FOCO ESTIMACION'!M18</f>
        <v>209254.56460088139</v>
      </c>
      <c r="N15" s="665">
        <f>'[5] FOCO INCREMENTO'!N18+'[5] FOCO ESTIMACION'!N18</f>
        <v>205551.56600233438</v>
      </c>
      <c r="O15" s="666">
        <f t="shared" si="0"/>
        <v>2562002.1819222616</v>
      </c>
      <c r="P15" s="667"/>
    </row>
    <row r="16" spans="1:17" ht="12.75" customHeight="1" x14ac:dyDescent="0.2">
      <c r="A16" s="663" t="s">
        <v>159</v>
      </c>
      <c r="B16" s="675"/>
      <c r="C16" s="665">
        <f>'[5] FOCO INCREMENTO'!C19+'[5] FOCO ESTIMACION'!C19</f>
        <v>274192.05874801276</v>
      </c>
      <c r="D16" s="665">
        <f>'[5] FOCO INCREMENTO'!D19+'[5] FOCO ESTIMACION'!D19</f>
        <v>276261.2937308129</v>
      </c>
      <c r="E16" s="665">
        <f>'[5] FOCO INCREMENTO'!E19+'[5] FOCO ESTIMACION'!E19</f>
        <v>262247.27858993516</v>
      </c>
      <c r="F16" s="665">
        <f>'[5] FOCO INCREMENTO'!F19+'[5] FOCO ESTIMACION'!F19</f>
        <v>283293.1833161026</v>
      </c>
      <c r="G16" s="665">
        <f>'[5] FOCO INCREMENTO'!G19+'[5] FOCO ESTIMACION'!G19</f>
        <v>277233.15124686155</v>
      </c>
      <c r="H16" s="665">
        <f>'[5] FOCO INCREMENTO'!H19+'[5] FOCO ESTIMACION'!H19</f>
        <v>288271.77031055721</v>
      </c>
      <c r="I16" s="665">
        <f>'[5] FOCO INCREMENTO'!I19+'[5] FOCO ESTIMACION'!I19</f>
        <v>274499.03119227302</v>
      </c>
      <c r="J16" s="665">
        <f>'[5] FOCO INCREMENTO'!J19+'[5] FOCO ESTIMACION'!J19</f>
        <v>279242.07323486469</v>
      </c>
      <c r="K16" s="665">
        <f>'[5] FOCO INCREMENTO'!K19+'[5] FOCO ESTIMACION'!K19</f>
        <v>272892.89269835327</v>
      </c>
      <c r="L16" s="665">
        <f>'[5] FOCO INCREMENTO'!L19+'[5] FOCO ESTIMACION'!L19</f>
        <v>261223.83187463079</v>
      </c>
      <c r="M16" s="665">
        <f>'[5] FOCO INCREMENTO'!M19+'[5] FOCO ESTIMACION'!M19</f>
        <v>268716.48103113833</v>
      </c>
      <c r="N16" s="665">
        <f>'[5] FOCO INCREMENTO'!N19+'[5] FOCO ESTIMACION'!N19</f>
        <v>257774.70750365214</v>
      </c>
      <c r="O16" s="666">
        <f t="shared" si="0"/>
        <v>3275847.7534771943</v>
      </c>
      <c r="P16" s="667"/>
    </row>
    <row r="17" spans="1:16" ht="12.75" customHeight="1" x14ac:dyDescent="0.2">
      <c r="A17" s="663" t="s">
        <v>287</v>
      </c>
      <c r="B17" s="675"/>
      <c r="C17" s="665">
        <f>'[5] FOCO INCREMENTO'!C20+'[5] FOCO ESTIMACION'!C20</f>
        <v>168369.18253523775</v>
      </c>
      <c r="D17" s="665">
        <f>'[5] FOCO INCREMENTO'!D20+'[5] FOCO ESTIMACION'!D20</f>
        <v>169994.51604787685</v>
      </c>
      <c r="E17" s="665">
        <f>'[5] FOCO INCREMENTO'!E20+'[5] FOCO ESTIMACION'!E20</f>
        <v>112587.56716776869</v>
      </c>
      <c r="F17" s="665">
        <f>'[5] FOCO INCREMENTO'!F20+'[5] FOCO ESTIMACION'!F20</f>
        <v>157441.73275838856</v>
      </c>
      <c r="G17" s="665">
        <f>'[5] FOCO INCREMENTO'!G20+'[5] FOCO ESTIMACION'!G20</f>
        <v>128842.46466456076</v>
      </c>
      <c r="H17" s="665">
        <f>'[5] FOCO INCREMENTO'!H20+'[5] FOCO ESTIMACION'!H20</f>
        <v>157981.58605880657</v>
      </c>
      <c r="I17" s="665">
        <f>'[5] FOCO INCREMENTO'!I20+'[5] FOCO ESTIMACION'!I20</f>
        <v>125794.29452279361</v>
      </c>
      <c r="J17" s="665">
        <f>'[5] FOCO INCREMENTO'!J20+'[5] FOCO ESTIMACION'!J20</f>
        <v>135423.97571846531</v>
      </c>
      <c r="K17" s="665">
        <f>'[5] FOCO INCREMENTO'!K20+'[5] FOCO ESTIMACION'!K20</f>
        <v>139318.90368970699</v>
      </c>
      <c r="L17" s="665">
        <f>'[5] FOCO INCREMENTO'!L20+'[5] FOCO ESTIMACION'!L20</f>
        <v>106020.8592911384</v>
      </c>
      <c r="M17" s="665">
        <f>'[5] FOCO INCREMENTO'!M20+'[5] FOCO ESTIMACION'!M20</f>
        <v>128827.68037865395</v>
      </c>
      <c r="N17" s="665">
        <f>'[5] FOCO INCREMENTO'!N20+'[5] FOCO ESTIMACION'!N20</f>
        <v>188390.95779910067</v>
      </c>
      <c r="O17" s="666">
        <f t="shared" si="0"/>
        <v>1718993.7206324982</v>
      </c>
      <c r="P17" s="667"/>
    </row>
    <row r="18" spans="1:16" ht="12.75" customHeight="1" x14ac:dyDescent="0.2">
      <c r="A18" s="663" t="s">
        <v>288</v>
      </c>
      <c r="B18" s="675"/>
      <c r="C18" s="665">
        <f>'[5] FOCO INCREMENTO'!C21+'[5] FOCO ESTIMACION'!C21</f>
        <v>198394.74342085869</v>
      </c>
      <c r="D18" s="665">
        <f>'[5] FOCO INCREMENTO'!D21+'[5] FOCO ESTIMACION'!D21</f>
        <v>199943.37561179919</v>
      </c>
      <c r="E18" s="665">
        <f>'[5] FOCO INCREMENTO'!E21+'[5] FOCO ESTIMACION'!E21</f>
        <v>182729.72243924619</v>
      </c>
      <c r="F18" s="665">
        <f>'[5] FOCO INCREMENTO'!F21+'[5] FOCO ESTIMACION'!F21</f>
        <v>202586.00785245071</v>
      </c>
      <c r="G18" s="665">
        <f>'[5] FOCO INCREMENTO'!G21+'[5] FOCO ESTIMACION'!G21</f>
        <v>194595.19422602394</v>
      </c>
      <c r="H18" s="665">
        <f>'[5] FOCO INCREMENTO'!H21+'[5] FOCO ESTIMACION'!H21</f>
        <v>205823.44798842364</v>
      </c>
      <c r="I18" s="665">
        <f>'[5] FOCO INCREMENTO'!I21+'[5] FOCO ESTIMACION'!I21</f>
        <v>192418.41920854413</v>
      </c>
      <c r="J18" s="665">
        <f>'[5] FOCO INCREMENTO'!J21+'[5] FOCO ESTIMACION'!J21</f>
        <v>196823.93905012784</v>
      </c>
      <c r="K18" s="665">
        <f>'[5] FOCO INCREMENTO'!K21+'[5] FOCO ESTIMACION'!K21</f>
        <v>193359.59081034412</v>
      </c>
      <c r="L18" s="665">
        <f>'[5] FOCO INCREMENTO'!L21+'[5] FOCO ESTIMACION'!L21</f>
        <v>181128.46206910201</v>
      </c>
      <c r="M18" s="665">
        <f>'[5] FOCO INCREMENTO'!M21+'[5] FOCO ESTIMACION'!M21</f>
        <v>189188.75119316691</v>
      </c>
      <c r="N18" s="665">
        <f>'[5] FOCO INCREMENTO'!N21+'[5] FOCO ESTIMACION'!N21</f>
        <v>190879.12494086992</v>
      </c>
      <c r="O18" s="666">
        <f t="shared" si="0"/>
        <v>2327870.778810957</v>
      </c>
      <c r="P18" s="667"/>
    </row>
    <row r="19" spans="1:16" ht="12.75" customHeight="1" x14ac:dyDescent="0.2">
      <c r="A19" s="663" t="s">
        <v>289</v>
      </c>
      <c r="B19" s="675"/>
      <c r="C19" s="665">
        <f>'[5] FOCO INCREMENTO'!C22+'[5] FOCO ESTIMACION'!C22</f>
        <v>637279.876508596</v>
      </c>
      <c r="D19" s="665">
        <f>'[5] FOCO INCREMENTO'!D22+'[5] FOCO ESTIMACION'!D22</f>
        <v>641889.33767879708</v>
      </c>
      <c r="E19" s="665">
        <f>'[5] FOCO INCREMENTO'!E22+'[5] FOCO ESTIMACION'!E22</f>
        <v>636817.10813882633</v>
      </c>
      <c r="F19" s="665">
        <f>'[5] FOCO INCREMENTO'!F22+'[5] FOCO ESTIMACION'!F22</f>
        <v>667739.45692027162</v>
      </c>
      <c r="G19" s="665">
        <f>'[5] FOCO INCREMENTO'!G22+'[5] FOCO ESTIMACION'!G22</f>
        <v>667673.26053620619</v>
      </c>
      <c r="H19" s="665">
        <f>'[5] FOCO INCREMENTO'!H22+'[5] FOCO ESTIMACION'!H22</f>
        <v>680729.20225750108</v>
      </c>
      <c r="I19" s="665">
        <f>'[5] FOCO INCREMENTO'!I22+'[5] FOCO ESTIMACION'!I22</f>
        <v>662090.16332464595</v>
      </c>
      <c r="J19" s="665">
        <f>'[5] FOCO INCREMENTO'!J22+'[5] FOCO ESTIMACION'!J22</f>
        <v>669328.90691099211</v>
      </c>
      <c r="K19" s="665">
        <f>'[5] FOCO INCREMENTO'!K22+'[5] FOCO ESTIMACION'!K22</f>
        <v>650180.40522796602</v>
      </c>
      <c r="L19" s="665">
        <f>'[5] FOCO INCREMENTO'!L22+'[5] FOCO ESTIMACION'!L22</f>
        <v>637784.56116318586</v>
      </c>
      <c r="M19" s="665">
        <f>'[5] FOCO INCREMENTO'!M22+'[5] FOCO ESTIMACION'!M22</f>
        <v>644940.16426424088</v>
      </c>
      <c r="N19" s="665">
        <f>'[5] FOCO INCREMENTO'!N22+'[5] FOCO ESTIMACION'!N22</f>
        <v>582159.74549378653</v>
      </c>
      <c r="O19" s="666">
        <f t="shared" si="0"/>
        <v>7778612.1884250157</v>
      </c>
      <c r="P19" s="667"/>
    </row>
    <row r="20" spans="1:16" ht="12.75" customHeight="1" x14ac:dyDescent="0.2">
      <c r="A20" s="663" t="s">
        <v>163</v>
      </c>
      <c r="B20" s="675"/>
      <c r="C20" s="665">
        <f>'[5] FOCO INCREMENTO'!C23+'[5] FOCO ESTIMACION'!C23</f>
        <v>337879.70151730324</v>
      </c>
      <c r="D20" s="665">
        <f>'[5] FOCO INCREMENTO'!D23+'[5] FOCO ESTIMACION'!D23</f>
        <v>340324.81281794817</v>
      </c>
      <c r="E20" s="665">
        <f>'[5] FOCO INCREMENTO'!E23+'[5] FOCO ESTIMACION'!E23</f>
        <v>337467.84817407792</v>
      </c>
      <c r="F20" s="665">
        <f>'[5] FOCO INCREMENTO'!F23+'[5] FOCO ESTIMACION'!F23</f>
        <v>353972.31909494393</v>
      </c>
      <c r="G20" s="665">
        <f>'[5] FOCO INCREMENTO'!G23+'[5] FOCO ESTIMACION'!G23</f>
        <v>353851.72359519941</v>
      </c>
      <c r="H20" s="665">
        <f>'[5] FOCO INCREMENTO'!H23+'[5] FOCO ESTIMACION'!H23</f>
        <v>360850.70680220856</v>
      </c>
      <c r="I20" s="665">
        <f>'[5] FOCO INCREMENTO'!I23+'[5] FOCO ESTIMACION'!I23</f>
        <v>350886.91301523236</v>
      </c>
      <c r="J20" s="665">
        <f>'[5] FOCO INCREMENTO'!J23+'[5] FOCO ESTIMACION'!J23</f>
        <v>354747.91075814457</v>
      </c>
      <c r="K20" s="665">
        <f>'[5] FOCO INCREMENTO'!K23+'[5] FOCO ESTIMACION'!K23</f>
        <v>344622.34276456496</v>
      </c>
      <c r="L20" s="665">
        <f>'[5] FOCO INCREMENTO'!L23+'[5] FOCO ESTIMACION'!L23</f>
        <v>337960.37444248161</v>
      </c>
      <c r="M20" s="665">
        <f>'[5] FOCO INCREMENTO'!M23+'[5] FOCO ESTIMACION'!M23</f>
        <v>341816.77536440716</v>
      </c>
      <c r="N20" s="665">
        <f>'[5] FOCO INCREMENTO'!N23+'[5] FOCO ESTIMACION'!N23</f>
        <v>308758.98990534758</v>
      </c>
      <c r="O20" s="666">
        <f t="shared" si="0"/>
        <v>4123140.4182518595</v>
      </c>
      <c r="P20" s="667"/>
    </row>
    <row r="21" spans="1:16" ht="12.75" customHeight="1" x14ac:dyDescent="0.2">
      <c r="A21" s="663" t="s">
        <v>164</v>
      </c>
      <c r="B21" s="675"/>
      <c r="C21" s="665">
        <f>'[5] FOCO INCREMENTO'!C24+'[5] FOCO ESTIMACION'!C24</f>
        <v>2236911.5451440504</v>
      </c>
      <c r="D21" s="665">
        <f>'[5] FOCO INCREMENTO'!D24+'[5] FOCO ESTIMACION'!D24</f>
        <v>2253409.3547156453</v>
      </c>
      <c r="E21" s="665">
        <f>'[5] FOCO INCREMENTO'!E24+'[5] FOCO ESTIMACION'!E24</f>
        <v>2191830.4002508712</v>
      </c>
      <c r="F21" s="665">
        <f>'[5] FOCO INCREMENTO'!F24+'[5] FOCO ESTIMACION'!F24</f>
        <v>2329012.6221805741</v>
      </c>
      <c r="G21" s="665">
        <f>'[5] FOCO INCREMENTO'!G24+'[5] FOCO ESTIMACION'!G24</f>
        <v>2306464.6597708012</v>
      </c>
      <c r="H21" s="665">
        <f>'[5] FOCO INCREMENTO'!H24+'[5] FOCO ESTIMACION'!H24</f>
        <v>2372349.8401521686</v>
      </c>
      <c r="I21" s="665">
        <f>'[5] FOCO INCREMENTO'!I24+'[5] FOCO ESTIMACION'!I24</f>
        <v>2285639.2377193514</v>
      </c>
      <c r="J21" s="665">
        <f>'[5] FOCO INCREMENTO'!J24+'[5] FOCO ESTIMACION'!J24</f>
        <v>2317073.2126520276</v>
      </c>
      <c r="K21" s="665">
        <f>'[5] FOCO INCREMENTO'!K24+'[5] FOCO ESTIMACION'!K24</f>
        <v>2256851.1157179568</v>
      </c>
      <c r="L21" s="665">
        <f>'[5] FOCO INCREMENTO'!L24+'[5] FOCO ESTIMACION'!L24</f>
        <v>2189899.6412557503</v>
      </c>
      <c r="M21" s="665">
        <f>'[5] FOCO INCREMENTO'!M24+'[5] FOCO ESTIMACION'!M24</f>
        <v>2231347.1639124178</v>
      </c>
      <c r="N21" s="665">
        <f>'[5] FOCO INCREMENTO'!N24+'[5] FOCO ESTIMACION'!N24</f>
        <v>2070437.0785207015</v>
      </c>
      <c r="O21" s="666">
        <f t="shared" si="0"/>
        <v>27041225.871992316</v>
      </c>
      <c r="P21" s="667"/>
    </row>
    <row r="22" spans="1:16" ht="12.75" customHeight="1" x14ac:dyDescent="0.2">
      <c r="A22" s="663" t="s">
        <v>165</v>
      </c>
      <c r="B22" s="675"/>
      <c r="C22" s="665">
        <f>'[5] FOCO INCREMENTO'!C25+'[5] FOCO ESTIMACION'!C25</f>
        <v>226321.55528975671</v>
      </c>
      <c r="D22" s="665">
        <f>'[5] FOCO INCREMENTO'!D25+'[5] FOCO ESTIMACION'!D25</f>
        <v>228048.68741470721</v>
      </c>
      <c r="E22" s="665">
        <f>'[5] FOCO INCREMENTO'!E25+'[5] FOCO ESTIMACION'!E25</f>
        <v>213845.30993281701</v>
      </c>
      <c r="F22" s="665">
        <f>'[5] FOCO INCREMENTO'!F25+'[5] FOCO ESTIMACION'!F25</f>
        <v>232941.61713395658</v>
      </c>
      <c r="G22" s="665">
        <f>'[5] FOCO INCREMENTO'!G25+'[5] FOCO ESTIMACION'!G25</f>
        <v>226595.79286355968</v>
      </c>
      <c r="H22" s="665">
        <f>'[5] FOCO INCREMENTO'!H25+'[5] FOCO ESTIMACION'!H25</f>
        <v>236915.03353808116</v>
      </c>
      <c r="I22" s="665">
        <f>'[5] FOCO INCREMENTO'!I25+'[5] FOCO ESTIMACION'!I25</f>
        <v>224265.05444790859</v>
      </c>
      <c r="J22" s="665">
        <f>'[5] FOCO INCREMENTO'!J25+'[5] FOCO ESTIMACION'!J25</f>
        <v>228542.85209447177</v>
      </c>
      <c r="K22" s="665">
        <f>'[5] FOCO INCREMENTO'!K25+'[5] FOCO ESTIMACION'!K25</f>
        <v>223723.1373924184</v>
      </c>
      <c r="L22" s="665">
        <f>'[5] FOCO INCREMENTO'!L25+'[5] FOCO ESTIMACION'!L25</f>
        <v>212679.78724376185</v>
      </c>
      <c r="M22" s="665">
        <f>'[5] FOCO INCREMENTO'!M25+'[5] FOCO ESTIMACION'!M25</f>
        <v>219847.71279347118</v>
      </c>
      <c r="N22" s="665">
        <f>'[5] FOCO INCREMENTO'!N25+'[5] FOCO ESTIMACION'!N25</f>
        <v>214396.48950518662</v>
      </c>
      <c r="O22" s="666">
        <f t="shared" si="0"/>
        <v>2688123.0296500972</v>
      </c>
      <c r="P22" s="667"/>
    </row>
    <row r="23" spans="1:16" ht="12.75" customHeight="1" thickBot="1" x14ac:dyDescent="0.25">
      <c r="A23" s="663" t="s">
        <v>166</v>
      </c>
      <c r="B23" s="676"/>
      <c r="C23" s="665">
        <f>'[5] FOCO INCREMENTO'!C26+'[5] FOCO ESTIMACION'!C26</f>
        <v>316677.92014081427</v>
      </c>
      <c r="D23" s="665">
        <f>'[5] FOCO INCREMENTO'!D26+'[5] FOCO ESTIMACION'!D26</f>
        <v>319074.88842420722</v>
      </c>
      <c r="E23" s="665">
        <f>'[5] FOCO INCREMENTO'!E26+'[5] FOCO ESTIMACION'!E26</f>
        <v>301911.63684907235</v>
      </c>
      <c r="F23" s="665">
        <f>'[5] FOCO INCREMENTO'!F26+'[5] FOCO ESTIMACION'!F26</f>
        <v>326858.34634578915</v>
      </c>
      <c r="G23" s="665">
        <f>'[5] FOCO INCREMENTO'!G26+'[5] FOCO ESTIMACION'!G26</f>
        <v>319360.86638977705</v>
      </c>
      <c r="H23" s="665">
        <f>'[5] FOCO INCREMENTO'!H26+'[5] FOCO ESTIMACION'!H26</f>
        <v>332557.92633437424</v>
      </c>
      <c r="I23" s="665">
        <f>'[5] FOCO INCREMENTO'!I26+'[5] FOCO ESTIMACION'!I26</f>
        <v>316175.66211982671</v>
      </c>
      <c r="J23" s="665">
        <f>'[5] FOCO INCREMENTO'!J26+'[5] FOCO ESTIMACION'!J26</f>
        <v>321788.21888827981</v>
      </c>
      <c r="K23" s="665">
        <f>'[5] FOCO INCREMENTO'!K26+'[5] FOCO ESTIMACION'!K26</f>
        <v>314611.38943959837</v>
      </c>
      <c r="L23" s="665">
        <f>'[5] FOCO INCREMENTO'!L26+'[5] FOCO ESTIMACION'!L26</f>
        <v>300610.63054300647</v>
      </c>
      <c r="M23" s="665">
        <f>'[5] FOCO INCREMENTO'!M26+'[5] FOCO ESTIMACION'!M26</f>
        <v>309629.02910593851</v>
      </c>
      <c r="N23" s="665">
        <f>'[5] FOCO INCREMENTO'!N26+'[5] FOCO ESTIMACION'!N26</f>
        <v>298319.84658681002</v>
      </c>
      <c r="O23" s="666">
        <f t="shared" si="0"/>
        <v>3777576.3611674942</v>
      </c>
      <c r="P23" s="667"/>
    </row>
    <row r="24" spans="1:16" ht="13.5" thickBot="1" x14ac:dyDescent="0.25">
      <c r="A24" s="668" t="s">
        <v>290</v>
      </c>
      <c r="B24" s="669">
        <f>SUM(B4:B23)</f>
        <v>0</v>
      </c>
      <c r="C24" s="670">
        <f>SUM(C4:C23)</f>
        <v>8049883.0500000007</v>
      </c>
      <c r="D24" s="670">
        <f t="shared" ref="D24:N24" si="1">SUM(D4:D23)</f>
        <v>8110499.4000000013</v>
      </c>
      <c r="E24" s="670">
        <f t="shared" si="1"/>
        <v>7717421.9249999998</v>
      </c>
      <c r="F24" s="670">
        <f t="shared" si="1"/>
        <v>8323290.4500000002</v>
      </c>
      <c r="G24" s="670">
        <f t="shared" si="1"/>
        <v>8154733.0499999989</v>
      </c>
      <c r="H24" s="670">
        <f t="shared" si="1"/>
        <v>8470401.3000000007</v>
      </c>
      <c r="I24" s="670">
        <f t="shared" si="1"/>
        <v>8074978.1999999993</v>
      </c>
      <c r="J24" s="670">
        <f t="shared" si="1"/>
        <v>8211700.7999999989</v>
      </c>
      <c r="K24" s="670">
        <f t="shared" si="1"/>
        <v>8022366.9000000013</v>
      </c>
      <c r="L24" s="670">
        <f t="shared" si="1"/>
        <v>7689608.3250000011</v>
      </c>
      <c r="M24" s="670">
        <f t="shared" si="1"/>
        <v>7902734.6250000019</v>
      </c>
      <c r="N24" s="670">
        <f t="shared" si="1"/>
        <v>7556571.8999999994</v>
      </c>
      <c r="O24" s="670">
        <f>SUM(C24:N24)</f>
        <v>96284189.925000012</v>
      </c>
    </row>
    <row r="25" spans="1:16" x14ac:dyDescent="0.2">
      <c r="A25" s="671"/>
      <c r="B25" s="671"/>
      <c r="C25" s="671"/>
      <c r="D25" s="671"/>
      <c r="E25" s="671"/>
      <c r="F25" s="671"/>
      <c r="G25" s="671"/>
      <c r="H25" s="671"/>
      <c r="I25" s="671"/>
      <c r="J25" s="671"/>
      <c r="K25" s="671"/>
      <c r="L25" s="671"/>
      <c r="M25" s="671"/>
      <c r="N25" s="671"/>
      <c r="O25" s="671"/>
    </row>
    <row r="26" spans="1:16" x14ac:dyDescent="0.2">
      <c r="A26" s="672" t="s">
        <v>291</v>
      </c>
      <c r="O26" s="667"/>
    </row>
  </sheetData>
  <mergeCells count="1">
    <mergeCell ref="A1:O1"/>
  </mergeCells>
  <printOptions horizontalCentered="1"/>
  <pageMargins left="0.70866141732283472" right="0.47244094488188981" top="0.98425196850393704" bottom="0.98425196850393704" header="0" footer="0"/>
  <pageSetup paperSize="5"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8">
    <tabColor theme="7" tint="0.59999389629810485"/>
  </sheetPr>
  <dimension ref="A1:O36"/>
  <sheetViews>
    <sheetView topLeftCell="A2" workbookViewId="0">
      <selection activeCell="K29" sqref="K29"/>
    </sheetView>
  </sheetViews>
  <sheetFormatPr baseColWidth="10" defaultRowHeight="12.75" x14ac:dyDescent="0.2"/>
  <cols>
    <col min="1" max="1" width="16.85546875" style="658" customWidth="1"/>
    <col min="2" max="2" width="9.28515625" style="658" hidden="1" customWidth="1"/>
    <col min="3" max="10" width="7.85546875" style="658" customWidth="1"/>
    <col min="11" max="11" width="9.5703125" style="658" customWidth="1"/>
    <col min="12" max="12" width="7.85546875" style="658" customWidth="1"/>
    <col min="13" max="13" width="9.42578125" style="658" customWidth="1"/>
    <col min="14" max="14" width="9.28515625" style="658" customWidth="1"/>
    <col min="15" max="15" width="11.42578125" style="658" bestFit="1" customWidth="1"/>
    <col min="16" max="16384" width="11.42578125" style="658"/>
  </cols>
  <sheetData>
    <row r="1" spans="1:15" ht="15.75" x14ac:dyDescent="0.25">
      <c r="A1" s="1019" t="s">
        <v>279</v>
      </c>
      <c r="B1" s="1019"/>
      <c r="C1" s="1019"/>
      <c r="D1" s="1019"/>
      <c r="E1" s="1019"/>
      <c r="F1" s="1019"/>
      <c r="G1" s="1019"/>
      <c r="H1" s="1019"/>
      <c r="I1" s="1019"/>
      <c r="J1" s="1019"/>
      <c r="K1" s="1019"/>
      <c r="L1" s="1019"/>
      <c r="M1" s="1019"/>
      <c r="N1" s="1019"/>
      <c r="O1" s="1019"/>
    </row>
    <row r="2" spans="1:15" x14ac:dyDescent="0.2">
      <c r="A2" s="1021" t="s">
        <v>435</v>
      </c>
      <c r="B2" s="1021"/>
      <c r="C2" s="1021"/>
      <c r="D2" s="1021"/>
      <c r="E2" s="1021"/>
      <c r="F2" s="1021"/>
      <c r="G2" s="1021"/>
      <c r="H2" s="1021"/>
      <c r="I2" s="1021"/>
      <c r="J2" s="1021"/>
      <c r="K2" s="1021"/>
      <c r="L2" s="1021"/>
      <c r="M2" s="1021"/>
      <c r="N2" s="1021"/>
      <c r="O2" s="1021"/>
    </row>
    <row r="3" spans="1:15" ht="13.5" thickBot="1" x14ac:dyDescent="0.25"/>
    <row r="4" spans="1:15" ht="23.25" thickBot="1" x14ac:dyDescent="0.25">
      <c r="A4" s="659" t="s">
        <v>354</v>
      </c>
      <c r="B4" s="660" t="s">
        <v>283</v>
      </c>
      <c r="C4" s="659" t="s">
        <v>1</v>
      </c>
      <c r="D4" s="661" t="s">
        <v>2</v>
      </c>
      <c r="E4" s="659" t="s">
        <v>3</v>
      </c>
      <c r="F4" s="661" t="s">
        <v>4</v>
      </c>
      <c r="G4" s="659" t="s">
        <v>5</v>
      </c>
      <c r="H4" s="659" t="s">
        <v>6</v>
      </c>
      <c r="I4" s="659" t="s">
        <v>7</v>
      </c>
      <c r="J4" s="661" t="s">
        <v>8</v>
      </c>
      <c r="K4" s="659" t="s">
        <v>9</v>
      </c>
      <c r="L4" s="661" t="s">
        <v>10</v>
      </c>
      <c r="M4" s="659" t="s">
        <v>11</v>
      </c>
      <c r="N4" s="659" t="s">
        <v>12</v>
      </c>
      <c r="O4" s="662" t="s">
        <v>169</v>
      </c>
    </row>
    <row r="5" spans="1:15" ht="12.75" customHeight="1" x14ac:dyDescent="0.2">
      <c r="A5" s="663" t="s">
        <v>284</v>
      </c>
      <c r="B5" s="674"/>
      <c r="C5" s="665">
        <f>'[5]IEPS INCREMENTO'!C7+'[5]IEPS ESTIMACIONES'!C7</f>
        <v>115964.5500653396</v>
      </c>
      <c r="D5" s="665">
        <f>'[5]IEPS INCREMENTO'!D7+'[5]IEPS ESTIMACIONES'!D7</f>
        <v>160814.92915440333</v>
      </c>
      <c r="E5" s="665">
        <f>'[5]IEPS INCREMENTO'!E7+'[5]IEPS ESTIMACIONES'!E7</f>
        <v>169493.86621499766</v>
      </c>
      <c r="F5" s="665">
        <f>'[5]IEPS INCREMENTO'!F7+'[5]IEPS ESTIMACIONES'!F7</f>
        <v>98005.4138988083</v>
      </c>
      <c r="G5" s="665">
        <f>'[5]IEPS INCREMENTO'!G7+'[5]IEPS ESTIMACIONES'!G7</f>
        <v>121347.24792074499</v>
      </c>
      <c r="H5" s="665">
        <f>'[5]IEPS INCREMENTO'!H7+'[5]IEPS ESTIMACIONES'!H7</f>
        <v>128311.81578480646</v>
      </c>
      <c r="I5" s="665">
        <f>'[5]IEPS INCREMENTO'!I7+'[5]IEPS ESTIMACIONES'!I7</f>
        <v>132740.16509422194</v>
      </c>
      <c r="J5" s="665">
        <f>'[5]IEPS INCREMENTO'!J7+'[5]IEPS ESTIMACIONES'!J7</f>
        <v>137201.17358585866</v>
      </c>
      <c r="K5" s="665">
        <f>'[5]IEPS INCREMENTO'!K7+'[5]IEPS ESTIMACIONES'!K7</f>
        <v>176756.73715536454</v>
      </c>
      <c r="L5" s="665">
        <f>'[5]IEPS INCREMENTO'!L7+'[5]IEPS ESTIMACIONES'!L7</f>
        <v>110872.74152298502</v>
      </c>
      <c r="M5" s="665">
        <f>'[5]IEPS INCREMENTO'!M7+'[5]IEPS ESTIMACIONES'!M7</f>
        <v>111655.04536144833</v>
      </c>
      <c r="N5" s="665">
        <f>'[5]IEPS INCREMENTO'!N7+'[5]IEPS ESTIMACIONES'!N7</f>
        <v>127049.67799102108</v>
      </c>
      <c r="O5" s="666">
        <f>SUM(C5:N5)</f>
        <v>1590213.36375</v>
      </c>
    </row>
    <row r="6" spans="1:15" ht="12.75" customHeight="1" x14ac:dyDescent="0.2">
      <c r="A6" s="663" t="s">
        <v>148</v>
      </c>
      <c r="B6" s="675"/>
      <c r="C6" s="665">
        <f>'[5]IEPS INCREMENTO'!C8+'[5]IEPS ESTIMACIONES'!C8</f>
        <v>142566.81564654282</v>
      </c>
      <c r="D6" s="665">
        <f>'[5]IEPS INCREMENTO'!D8+'[5]IEPS ESTIMACIONES'!D8</f>
        <v>201400.79790549361</v>
      </c>
      <c r="E6" s="665">
        <f>'[5]IEPS INCREMENTO'!E8+'[5]IEPS ESTIMACIONES'!E8</f>
        <v>197395.66665102451</v>
      </c>
      <c r="F6" s="665">
        <f>'[5]IEPS INCREMENTO'!F8+'[5]IEPS ESTIMACIONES'!F8</f>
        <v>129700.10638657137</v>
      </c>
      <c r="G6" s="665">
        <f>'[5]IEPS INCREMENTO'!G8+'[5]IEPS ESTIMACIONES'!G8</f>
        <v>151544.15243898096</v>
      </c>
      <c r="H6" s="665">
        <f>'[5]IEPS INCREMENTO'!H8+'[5]IEPS ESTIMACIONES'!H8</f>
        <v>159881.34099617432</v>
      </c>
      <c r="I6" s="665">
        <f>'[5]IEPS INCREMENTO'!I8+'[5]IEPS ESTIMACIONES'!I8</f>
        <v>164821.81307207124</v>
      </c>
      <c r="J6" s="665">
        <f>'[5]IEPS INCREMENTO'!J8+'[5]IEPS ESTIMACIONES'!J8</f>
        <v>170484.26362132066</v>
      </c>
      <c r="K6" s="665">
        <f>'[5]IEPS INCREMENTO'!K8+'[5]IEPS ESTIMACIONES'!K8</f>
        <v>208956.42247558897</v>
      </c>
      <c r="L6" s="665">
        <f>'[5]IEPS INCREMENTO'!L8+'[5]IEPS ESTIMACIONES'!L8</f>
        <v>142344.84437575756</v>
      </c>
      <c r="M6" s="665">
        <f>'[5]IEPS INCREMENTO'!M8+'[5]IEPS ESTIMACIONES'!M8</f>
        <v>142412.19970080123</v>
      </c>
      <c r="N6" s="665">
        <f>'[5]IEPS INCREMENTO'!N8+'[5]IEPS ESTIMACIONES'!N8</f>
        <v>157928.94047967275</v>
      </c>
      <c r="O6" s="666">
        <f t="shared" ref="O6:O24" si="0">SUM(C6:N6)</f>
        <v>1969437.36375</v>
      </c>
    </row>
    <row r="7" spans="1:15" ht="12.75" customHeight="1" x14ac:dyDescent="0.2">
      <c r="A7" s="663" t="s">
        <v>149</v>
      </c>
      <c r="B7" s="675"/>
      <c r="C7" s="665">
        <f>'[5]IEPS INCREMENTO'!C9+'[5]IEPS ESTIMACIONES'!C9</f>
        <v>147482.45167785214</v>
      </c>
      <c r="D7" s="665">
        <f>'[5]IEPS INCREMENTO'!D9+'[5]IEPS ESTIMACIONES'!D9</f>
        <v>208900.36060949942</v>
      </c>
      <c r="E7" s="665">
        <f>'[5]IEPS INCREMENTO'!E9+'[5]IEPS ESTIMACIONES'!E9</f>
        <v>202551.43412289902</v>
      </c>
      <c r="F7" s="665">
        <f>'[5]IEPS INCREMENTO'!F9+'[5]IEPS ESTIMACIONES'!F9</f>
        <v>135556.73434626672</v>
      </c>
      <c r="G7" s="665">
        <f>'[5]IEPS INCREMENTO'!G9+'[5]IEPS ESTIMACIONES'!G9</f>
        <v>157124.01523039411</v>
      </c>
      <c r="H7" s="665">
        <f>'[5]IEPS INCREMENTO'!H9+'[5]IEPS ESTIMACIONES'!H9</f>
        <v>165714.84022001401</v>
      </c>
      <c r="I7" s="665">
        <f>'[5]IEPS INCREMENTO'!I9+'[5]IEPS ESTIMACIONES'!I9</f>
        <v>170749.94367667381</v>
      </c>
      <c r="J7" s="665">
        <f>'[5]IEPS INCREMENTO'!J9+'[5]IEPS ESTIMACIONES'!J9</f>
        <v>176634.39982352557</v>
      </c>
      <c r="K7" s="665">
        <f>'[5]IEPS INCREMENTO'!K9+'[5]IEPS ESTIMACIONES'!K9</f>
        <v>214906.36432823914</v>
      </c>
      <c r="L7" s="665">
        <f>'[5]IEPS INCREMENTO'!L9+'[5]IEPS ESTIMACIONES'!L9</f>
        <v>148160.34164203078</v>
      </c>
      <c r="M7" s="665">
        <f>'[5]IEPS INCREMENTO'!M9+'[5]IEPS ESTIMACIONES'!M9</f>
        <v>148095.58691568166</v>
      </c>
      <c r="N7" s="665">
        <f>'[5]IEPS INCREMENTO'!N9+'[5]IEPS ESTIMACIONES'!N9</f>
        <v>163634.89115692361</v>
      </c>
      <c r="O7" s="666">
        <f t="shared" si="0"/>
        <v>2039511.36375</v>
      </c>
    </row>
    <row r="8" spans="1:15" ht="12.75" customHeight="1" x14ac:dyDescent="0.2">
      <c r="A8" s="663" t="s">
        <v>285</v>
      </c>
      <c r="B8" s="675"/>
      <c r="C8" s="665">
        <f>'[5]IEPS INCREMENTO'!C10+'[5]IEPS ESTIMACIONES'!C10</f>
        <v>132446.388523259</v>
      </c>
      <c r="D8" s="665">
        <f>'[5]IEPS INCREMENTO'!D10+'[5]IEPS ESTIMACIONES'!D10</f>
        <v>185960.52175018753</v>
      </c>
      <c r="E8" s="665">
        <f>'[5]IEPS INCREMENTO'!E10+'[5]IEPS ESTIMACIONES'!E10</f>
        <v>186780.85126775343</v>
      </c>
      <c r="F8" s="665">
        <f>'[5]IEPS INCREMENTO'!F10+'[5]IEPS ESTIMACIONES'!F10</f>
        <v>117642.34294013977</v>
      </c>
      <c r="G8" s="665">
        <f>'[5]IEPS INCREMENTO'!G10+'[5]IEPS ESTIMACIONES'!G10</f>
        <v>140056.19963313034</v>
      </c>
      <c r="H8" s="665">
        <f>'[5]IEPS INCREMENTO'!H10+'[5]IEPS ESTIMACIONES'!H10</f>
        <v>147871.19553532783</v>
      </c>
      <c r="I8" s="665">
        <f>'[5]IEPS INCREMENTO'!I10+'[5]IEPS ESTIMACIONES'!I10</f>
        <v>152616.83829788945</v>
      </c>
      <c r="J8" s="665">
        <f>'[5]IEPS INCREMENTO'!J10+'[5]IEPS ESTIMACIONES'!J10</f>
        <v>157822.218499134</v>
      </c>
      <c r="K8" s="665">
        <f>'[5]IEPS INCREMENTO'!K10+'[5]IEPS ESTIMACIONES'!K10</f>
        <v>196706.54219072097</v>
      </c>
      <c r="L8" s="665">
        <f>'[5]IEPS INCREMENTO'!L10+'[5]IEPS ESTIMACIONES'!L10</f>
        <v>130371.76176872454</v>
      </c>
      <c r="M8" s="665">
        <f>'[5]IEPS INCREMENTO'!M10+'[5]IEPS ESTIMACIONES'!M10</f>
        <v>130711.10837604741</v>
      </c>
      <c r="N8" s="665">
        <f>'[5]IEPS INCREMENTO'!N10+'[5]IEPS ESTIMACIONES'!N10</f>
        <v>146181.39496768572</v>
      </c>
      <c r="O8" s="666">
        <f t="shared" si="0"/>
        <v>1825167.3637500003</v>
      </c>
    </row>
    <row r="9" spans="1:15" ht="12.75" customHeight="1" x14ac:dyDescent="0.2">
      <c r="A9" s="663" t="s">
        <v>151</v>
      </c>
      <c r="B9" s="675"/>
      <c r="C9" s="665">
        <f>'[5]IEPS INCREMENTO'!C11+'[5]IEPS ESTIMACIONES'!C11</f>
        <v>103386.30492640112</v>
      </c>
      <c r="D9" s="665">
        <f>'[5]IEPS INCREMENTO'!D11+'[5]IEPS ESTIMACIONES'!D11</f>
        <v>141624.87164709435</v>
      </c>
      <c r="E9" s="665">
        <f>'[5]IEPS INCREMENTO'!E11+'[5]IEPS ESTIMACIONES'!E11</f>
        <v>156301.16709578934</v>
      </c>
      <c r="F9" s="665">
        <f>'[5]IEPS INCREMENTO'!F11+'[5]IEPS ESTIMACIONES'!F11</f>
        <v>83019.336472529016</v>
      </c>
      <c r="G9" s="665">
        <f>'[5]IEPS INCREMENTO'!G11+'[5]IEPS ESTIMACIONES'!G11</f>
        <v>107069.36371918779</v>
      </c>
      <c r="H9" s="665">
        <f>'[5]IEPS INCREMENTO'!H11+'[5]IEPS ESTIMACIONES'!H11</f>
        <v>113384.92071204016</v>
      </c>
      <c r="I9" s="665">
        <f>'[5]IEPS INCREMENTO'!I11+'[5]IEPS ESTIMACIONES'!I11</f>
        <v>117571.12501773889</v>
      </c>
      <c r="J9" s="665">
        <f>'[5]IEPS INCREMENTO'!J11+'[5]IEPS ESTIMACIONES'!J11</f>
        <v>121464.06036256957</v>
      </c>
      <c r="K9" s="665">
        <f>'[5]IEPS INCREMENTO'!K11+'[5]IEPS ESTIMACIONES'!K11</f>
        <v>161531.88594417146</v>
      </c>
      <c r="L9" s="665">
        <f>'[5]IEPS INCREMENTO'!L11+'[5]IEPS ESTIMACIONES'!L11</f>
        <v>95991.91028281537</v>
      </c>
      <c r="M9" s="665">
        <f>'[5]IEPS INCREMENTO'!M11+'[5]IEPS ESTIMACIONES'!M11</f>
        <v>97112.260429254296</v>
      </c>
      <c r="N9" s="665">
        <f>'[5]IEPS INCREMENTO'!N11+'[5]IEPS ESTIMACIONES'!N11</f>
        <v>112449.15714040858</v>
      </c>
      <c r="O9" s="666">
        <f t="shared" si="0"/>
        <v>1410906.36375</v>
      </c>
    </row>
    <row r="10" spans="1:15" ht="12.75" customHeight="1" x14ac:dyDescent="0.2">
      <c r="A10" s="663" t="s">
        <v>286</v>
      </c>
      <c r="B10" s="675"/>
      <c r="C10" s="665">
        <f>'[5]IEPS INCREMENTO'!C12+'[5]IEPS ESTIMACIONES'!C12</f>
        <v>196494.23446061247</v>
      </c>
      <c r="D10" s="665">
        <f>'[5]IEPS INCREMENTO'!D12+'[5]IEPS ESTIMACIONES'!D12</f>
        <v>283675.41227591038</v>
      </c>
      <c r="E10" s="665">
        <f>'[5]IEPS INCREMENTO'!E12+'[5]IEPS ESTIMACIONES'!E12</f>
        <v>253957.46862188331</v>
      </c>
      <c r="F10" s="665">
        <f>'[5]IEPS INCREMENTO'!F12+'[5]IEPS ESTIMACIONES'!F12</f>
        <v>193950.76017969978</v>
      </c>
      <c r="G10" s="665">
        <f>'[5]IEPS INCREMENTO'!G12+'[5]IEPS ESTIMACIONES'!G12</f>
        <v>212758.52953301364</v>
      </c>
      <c r="H10" s="665">
        <f>'[5]IEPS INCREMENTO'!H12+'[5]IEPS ESTIMACIONES'!H12</f>
        <v>223878.25895182759</v>
      </c>
      <c r="I10" s="665">
        <f>'[5]IEPS INCREMENTO'!I12+'[5]IEPS ESTIMACIONES'!I12</f>
        <v>229856.89294021134</v>
      </c>
      <c r="J10" s="665">
        <f>'[5]IEPS INCREMENTO'!J12+'[5]IEPS ESTIMACIONES'!J12</f>
        <v>237954.87548668653</v>
      </c>
      <c r="K10" s="665">
        <f>'[5]IEPS INCREMENTO'!K12+'[5]IEPS ESTIMACIONES'!K12</f>
        <v>274230.78456495702</v>
      </c>
      <c r="L10" s="665">
        <f>'[5]IEPS INCREMENTO'!L12+'[5]IEPS ESTIMACIONES'!L12</f>
        <v>206144.27026751937</v>
      </c>
      <c r="M10" s="665">
        <f>'[5]IEPS INCREMENTO'!M12+'[5]IEPS ESTIMACIONES'!M12</f>
        <v>204762.30061698947</v>
      </c>
      <c r="N10" s="665">
        <f>'[5]IEPS INCREMENTO'!N12+'[5]IEPS ESTIMACIONES'!N12</f>
        <v>220526.57585068952</v>
      </c>
      <c r="O10" s="666">
        <f t="shared" si="0"/>
        <v>2738190.36375</v>
      </c>
    </row>
    <row r="11" spans="1:15" ht="12.75" customHeight="1" x14ac:dyDescent="0.2">
      <c r="A11" s="663" t="s">
        <v>153</v>
      </c>
      <c r="B11" s="675"/>
      <c r="C11" s="665">
        <f>'[5]IEPS INCREMENTO'!C13+'[5]IEPS ESTIMACIONES'!C13</f>
        <v>193891.83891462517</v>
      </c>
      <c r="D11" s="665">
        <f>'[5]IEPS INCREMENTO'!D13+'[5]IEPS ESTIMACIONES'!D13</f>
        <v>279705.05555026018</v>
      </c>
      <c r="E11" s="665">
        <f>'[5]IEPS INCREMENTO'!E13+'[5]IEPS ESTIMACIONES'!E13</f>
        <v>251227.94466618501</v>
      </c>
      <c r="F11" s="665">
        <f>'[5]IEPS INCREMENTO'!F13+'[5]IEPS ESTIMACIONES'!F13</f>
        <v>190850.19243633165</v>
      </c>
      <c r="G11" s="665">
        <f>'[5]IEPS INCREMENTO'!G13+'[5]IEPS ESTIMACIONES'!G13</f>
        <v>209804.48452579489</v>
      </c>
      <c r="H11" s="665">
        <f>'[5]IEPS INCREMENTO'!H13+'[5]IEPS ESTIMACIONES'!H13</f>
        <v>220789.93583332421</v>
      </c>
      <c r="I11" s="665">
        <f>'[5]IEPS INCREMENTO'!I13+'[5]IEPS ESTIMACIONES'!I13</f>
        <v>226718.47085542174</v>
      </c>
      <c r="J11" s="665">
        <f>'[5]IEPS INCREMENTO'!J13+'[5]IEPS ESTIMACIONES'!J13</f>
        <v>234698.92102669569</v>
      </c>
      <c r="K11" s="665">
        <f>'[5]IEPS INCREMENTO'!K13+'[5]IEPS ESTIMACIONES'!K13</f>
        <v>271080.81534884806</v>
      </c>
      <c r="L11" s="665">
        <f>'[5]IEPS INCREMENTO'!L13+'[5]IEPS ESTIMACIONES'!L13</f>
        <v>203065.47759713943</v>
      </c>
      <c r="M11" s="665">
        <f>'[5]IEPS INCREMENTO'!M13+'[5]IEPS ESTIMACIONES'!M13</f>
        <v>201753.44856205274</v>
      </c>
      <c r="N11" s="665">
        <f>'[5]IEPS INCREMENTO'!N13+'[5]IEPS ESTIMACIONES'!N13</f>
        <v>217505.77843332139</v>
      </c>
      <c r="O11" s="666">
        <f t="shared" si="0"/>
        <v>2701092.36375</v>
      </c>
    </row>
    <row r="12" spans="1:15" ht="12.75" customHeight="1" x14ac:dyDescent="0.2">
      <c r="A12" s="663" t="s">
        <v>154</v>
      </c>
      <c r="B12" s="675"/>
      <c r="C12" s="665">
        <f>'[5]IEPS INCREMENTO'!C14+'[5]IEPS ESTIMACIONES'!C14</f>
        <v>124350.04682463192</v>
      </c>
      <c r="D12" s="665">
        <f>'[5]IEPS INCREMENTO'!D14+'[5]IEPS ESTIMACIONES'!D14</f>
        <v>173608.30082594266</v>
      </c>
      <c r="E12" s="665">
        <f>'[5]IEPS INCREMENTO'!E14+'[5]IEPS ESTIMACIONES'!E14</f>
        <v>178288.99896113656</v>
      </c>
      <c r="F12" s="665">
        <f>'[5]IEPS INCREMENTO'!F14+'[5]IEPS ESTIMACIONES'!F14</f>
        <v>107996.13218299448</v>
      </c>
      <c r="G12" s="665">
        <f>'[5]IEPS INCREMENTO'!G14+'[5]IEPS ESTIMACIONES'!G14</f>
        <v>130865.83738844981</v>
      </c>
      <c r="H12" s="665">
        <f>'[5]IEPS INCREMENTO'!H14+'[5]IEPS ESTIMACIONES'!H14</f>
        <v>138263.07916665066</v>
      </c>
      <c r="I12" s="665">
        <f>'[5]IEPS INCREMENTO'!I14+'[5]IEPS ESTIMACIONES'!I14</f>
        <v>142852.85847854402</v>
      </c>
      <c r="J12" s="665">
        <f>'[5]IEPS INCREMENTO'!J14+'[5]IEPS ESTIMACIONES'!J14</f>
        <v>147692.58240138472</v>
      </c>
      <c r="K12" s="665">
        <f>'[5]IEPS INCREMENTO'!K14+'[5]IEPS ESTIMACIONES'!K14</f>
        <v>186906.63796282659</v>
      </c>
      <c r="L12" s="665">
        <f>'[5]IEPS INCREMENTO'!L14+'[5]IEPS ESTIMACIONES'!L14</f>
        <v>120793.2956830981</v>
      </c>
      <c r="M12" s="665">
        <f>'[5]IEPS INCREMENTO'!M14+'[5]IEPS ESTIMACIONES'!M14</f>
        <v>121350.23531624436</v>
      </c>
      <c r="N12" s="665">
        <f>'[5]IEPS INCREMENTO'!N14+'[5]IEPS ESTIMACIONES'!N14</f>
        <v>136783.35855809605</v>
      </c>
      <c r="O12" s="666">
        <f t="shared" si="0"/>
        <v>1709751.3637499998</v>
      </c>
    </row>
    <row r="13" spans="1:15" ht="12.75" customHeight="1" x14ac:dyDescent="0.2">
      <c r="A13" s="663" t="s">
        <v>155</v>
      </c>
      <c r="B13" s="675"/>
      <c r="C13" s="665">
        <f>'[5]IEPS INCREMENTO'!C15+'[5]IEPS ESTIMACIONES'!C15</f>
        <v>132446.388523259</v>
      </c>
      <c r="D13" s="665">
        <f>'[5]IEPS INCREMENTO'!D15+'[5]IEPS ESTIMACIONES'!D15</f>
        <v>185960.52175018753</v>
      </c>
      <c r="E13" s="665">
        <f>'[5]IEPS INCREMENTO'!E15+'[5]IEPS ESTIMACIONES'!E15</f>
        <v>186780.85126775343</v>
      </c>
      <c r="F13" s="665">
        <f>'[5]IEPS INCREMENTO'!F15+'[5]IEPS ESTIMACIONES'!F15</f>
        <v>117642.34294013977</v>
      </c>
      <c r="G13" s="665">
        <f>'[5]IEPS INCREMENTO'!G15+'[5]IEPS ESTIMACIONES'!G15</f>
        <v>140056.19963313034</v>
      </c>
      <c r="H13" s="665">
        <f>'[5]IEPS INCREMENTO'!H15+'[5]IEPS ESTIMACIONES'!H15</f>
        <v>147871.19553532783</v>
      </c>
      <c r="I13" s="665">
        <f>'[5]IEPS INCREMENTO'!I15+'[5]IEPS ESTIMACIONES'!I15</f>
        <v>152616.83829788945</v>
      </c>
      <c r="J13" s="665">
        <f>'[5]IEPS INCREMENTO'!J15+'[5]IEPS ESTIMACIONES'!J15</f>
        <v>157822.218499134</v>
      </c>
      <c r="K13" s="665">
        <f>'[5]IEPS INCREMENTO'!K15+'[5]IEPS ESTIMACIONES'!K15</f>
        <v>196706.54219072097</v>
      </c>
      <c r="L13" s="665">
        <f>'[5]IEPS INCREMENTO'!L15+'[5]IEPS ESTIMACIONES'!L15</f>
        <v>130371.76176872454</v>
      </c>
      <c r="M13" s="665">
        <f>'[5]IEPS INCREMENTO'!M15+'[5]IEPS ESTIMACIONES'!M15</f>
        <v>130711.10837604741</v>
      </c>
      <c r="N13" s="665">
        <f>'[5]IEPS INCREMENTO'!N15+'[5]IEPS ESTIMACIONES'!N15</f>
        <v>146181.39496768572</v>
      </c>
      <c r="O13" s="666">
        <f t="shared" si="0"/>
        <v>1825167.3637500003</v>
      </c>
    </row>
    <row r="14" spans="1:15" ht="12.75" customHeight="1" x14ac:dyDescent="0.2">
      <c r="A14" s="663" t="s">
        <v>156</v>
      </c>
      <c r="B14" s="675"/>
      <c r="C14" s="665">
        <f>'[5]IEPS INCREMENTO'!C16+'[5]IEPS ESTIMACIONES'!C16</f>
        <v>187964.16017098748</v>
      </c>
      <c r="D14" s="665">
        <f>'[5]IEPS INCREMENTO'!D16+'[5]IEPS ESTIMACIONES'!D16</f>
        <v>270661.46523072378</v>
      </c>
      <c r="E14" s="665">
        <f>'[5]IEPS INCREMENTO'!E16+'[5]IEPS ESTIMACIONES'!E16</f>
        <v>245010.69565598338</v>
      </c>
      <c r="F14" s="665">
        <f>'[5]IEPS INCREMENTO'!F16+'[5]IEPS ESTIMACIONES'!F16</f>
        <v>183787.78813199315</v>
      </c>
      <c r="G14" s="665">
        <f>'[5]IEPS INCREMENTO'!G16+'[5]IEPS ESTIMACIONES'!G16</f>
        <v>203075.82645379668</v>
      </c>
      <c r="H14" s="665">
        <f>'[5]IEPS INCREMENTO'!H16+'[5]IEPS ESTIMACIONES'!H16</f>
        <v>213755.42206339986</v>
      </c>
      <c r="I14" s="665">
        <f>'[5]IEPS INCREMENTO'!I16+'[5]IEPS ESTIMACIONES'!I16</f>
        <v>219569.84277340097</v>
      </c>
      <c r="J14" s="665">
        <f>'[5]IEPS INCREMENTO'!J16+'[5]IEPS ESTIMACIONES'!J16</f>
        <v>227282.58031227207</v>
      </c>
      <c r="K14" s="665">
        <f>'[5]IEPS INCREMENTO'!K16+'[5]IEPS ESTIMACIONES'!K16</f>
        <v>263905.88546771114</v>
      </c>
      <c r="L14" s="665">
        <f>'[5]IEPS INCREMENTO'!L16+'[5]IEPS ESTIMACIONES'!L16</f>
        <v>196052.67207016295</v>
      </c>
      <c r="M14" s="665">
        <f>'[5]IEPS INCREMENTO'!M16+'[5]IEPS ESTIMACIONES'!M16</f>
        <v>194899.95221469694</v>
      </c>
      <c r="N14" s="665">
        <f>'[5]IEPS INCREMENTO'!N16+'[5]IEPS ESTIMACIONES'!N16</f>
        <v>210625.07320487185</v>
      </c>
      <c r="O14" s="666">
        <f t="shared" si="0"/>
        <v>2616591.36375</v>
      </c>
    </row>
    <row r="15" spans="1:15" ht="12.75" customHeight="1" x14ac:dyDescent="0.2">
      <c r="A15" s="663" t="s">
        <v>157</v>
      </c>
      <c r="B15" s="675"/>
      <c r="C15" s="665">
        <f>'[5]IEPS INCREMENTO'!C17+'[5]IEPS ESTIMACIONES'!C17</f>
        <v>131578.92334126326</v>
      </c>
      <c r="D15" s="665">
        <f>'[5]IEPS INCREMENTO'!D17+'[5]IEPS ESTIMACIONES'!D17</f>
        <v>184637.06950830415</v>
      </c>
      <c r="E15" s="665">
        <f>'[5]IEPS INCREMENTO'!E17+'[5]IEPS ESTIMACIONES'!E17</f>
        <v>185871.00994918734</v>
      </c>
      <c r="F15" s="665">
        <f>'[5]IEPS INCREMENTO'!F17+'[5]IEPS ESTIMACIONES'!F17</f>
        <v>116608.82035901706</v>
      </c>
      <c r="G15" s="665">
        <f>'[5]IEPS INCREMENTO'!G17+'[5]IEPS ESTIMACIONES'!G17</f>
        <v>139071.51796405742</v>
      </c>
      <c r="H15" s="665">
        <f>'[5]IEPS INCREMENTO'!H17+'[5]IEPS ESTIMACIONES'!H17</f>
        <v>146841.75449582672</v>
      </c>
      <c r="I15" s="665">
        <f>'[5]IEPS INCREMENTO'!I17+'[5]IEPS ESTIMACIONES'!I17</f>
        <v>151570.69760295958</v>
      </c>
      <c r="J15" s="665">
        <f>'[5]IEPS INCREMENTO'!J17+'[5]IEPS ESTIMACIONES'!J17</f>
        <v>156736.90034580373</v>
      </c>
      <c r="K15" s="665">
        <f>'[5]IEPS INCREMENTO'!K17+'[5]IEPS ESTIMACIONES'!K17</f>
        <v>195656.55245201802</v>
      </c>
      <c r="L15" s="665">
        <f>'[5]IEPS INCREMENTO'!L17+'[5]IEPS ESTIMACIONES'!L17</f>
        <v>129345.49754526457</v>
      </c>
      <c r="M15" s="665">
        <f>'[5]IEPS INCREMENTO'!M17+'[5]IEPS ESTIMACIONES'!M17</f>
        <v>129708.15769106853</v>
      </c>
      <c r="N15" s="665">
        <f>'[5]IEPS INCREMENTO'!N17+'[5]IEPS ESTIMACIONES'!N17</f>
        <v>145174.46249522967</v>
      </c>
      <c r="O15" s="666">
        <f t="shared" si="0"/>
        <v>1812801.36375</v>
      </c>
    </row>
    <row r="16" spans="1:15" ht="12.75" customHeight="1" x14ac:dyDescent="0.2">
      <c r="A16" s="663" t="s">
        <v>158</v>
      </c>
      <c r="B16" s="675"/>
      <c r="C16" s="665">
        <f>'[5]IEPS INCREMENTO'!C18+'[5]IEPS ESTIMACIONES'!C18</f>
        <v>121024.76362698153</v>
      </c>
      <c r="D16" s="665">
        <f>'[5]IEPS INCREMENTO'!D18+'[5]IEPS ESTIMACIONES'!D18</f>
        <v>168535.06723205638</v>
      </c>
      <c r="E16" s="665">
        <f>'[5]IEPS INCREMENTO'!E18+'[5]IEPS ESTIMACIONES'!E18</f>
        <v>174801.2739066332</v>
      </c>
      <c r="F16" s="665">
        <f>'[5]IEPS INCREMENTO'!F18+'[5]IEPS ESTIMACIONES'!F18</f>
        <v>104034.2956220241</v>
      </c>
      <c r="G16" s="665">
        <f>'[5]IEPS INCREMENTO'!G18+'[5]IEPS ESTIMACIONES'!G18</f>
        <v>127091.22432367032</v>
      </c>
      <c r="H16" s="665">
        <f>'[5]IEPS INCREMENTO'!H18+'[5]IEPS ESTIMACIONES'!H18</f>
        <v>134316.88851522969</v>
      </c>
      <c r="I16" s="665">
        <f>'[5]IEPS INCREMENTO'!I18+'[5]IEPS ESTIMACIONES'!I18</f>
        <v>138842.65248131286</v>
      </c>
      <c r="J16" s="665">
        <f>'[5]IEPS INCREMENTO'!J18+'[5]IEPS ESTIMACIONES'!J18</f>
        <v>143532.19614695199</v>
      </c>
      <c r="K16" s="665">
        <f>'[5]IEPS INCREMENTO'!K18+'[5]IEPS ESTIMACIONES'!K18</f>
        <v>182881.67729779854</v>
      </c>
      <c r="L16" s="665">
        <f>'[5]IEPS INCREMENTO'!L18+'[5]IEPS ESTIMACIONES'!L18</f>
        <v>116859.28282650154</v>
      </c>
      <c r="M16" s="665">
        <f>'[5]IEPS INCREMENTO'!M18+'[5]IEPS ESTIMACIONES'!M18</f>
        <v>117505.59102382525</v>
      </c>
      <c r="N16" s="665">
        <f>'[5]IEPS INCREMENTO'!N18+'[5]IEPS ESTIMACIONES'!N18</f>
        <v>132923.45074701461</v>
      </c>
      <c r="O16" s="666">
        <f t="shared" si="0"/>
        <v>1662348.36375</v>
      </c>
    </row>
    <row r="17" spans="1:15" ht="12.75" customHeight="1" x14ac:dyDescent="0.2">
      <c r="A17" s="663" t="s">
        <v>159</v>
      </c>
      <c r="B17" s="675"/>
      <c r="C17" s="665">
        <f>'[5]IEPS INCREMENTO'!C19+'[5]IEPS ESTIMACIONES'!C19</f>
        <v>102952.57233540324</v>
      </c>
      <c r="D17" s="665">
        <f>'[5]IEPS INCREMENTO'!D19+'[5]IEPS ESTIMACIONES'!D19</f>
        <v>140963.14552615266</v>
      </c>
      <c r="E17" s="665">
        <f>'[5]IEPS INCREMENTO'!E19+'[5]IEPS ESTIMACIONES'!E19</f>
        <v>155846.24643650628</v>
      </c>
      <c r="F17" s="665">
        <f>'[5]IEPS INCREMENTO'!F19+'[5]IEPS ESTIMACIONES'!F19</f>
        <v>82502.575181967666</v>
      </c>
      <c r="G17" s="665">
        <f>'[5]IEPS INCREMENTO'!G19+'[5]IEPS ESTIMACIONES'!G19</f>
        <v>106577.02288465132</v>
      </c>
      <c r="H17" s="665">
        <f>'[5]IEPS INCREMENTO'!H19+'[5]IEPS ESTIMACIONES'!H19</f>
        <v>112870.2001922896</v>
      </c>
      <c r="I17" s="665">
        <f>'[5]IEPS INCREMENTO'!I19+'[5]IEPS ESTIMACIONES'!I19</f>
        <v>117048.05467027395</v>
      </c>
      <c r="J17" s="665">
        <f>'[5]IEPS INCREMENTO'!J19+'[5]IEPS ESTIMACIONES'!J19</f>
        <v>120921.40128590442</v>
      </c>
      <c r="K17" s="665">
        <f>'[5]IEPS INCREMENTO'!K19+'[5]IEPS ESTIMACIONES'!K19</f>
        <v>161006.89107481999</v>
      </c>
      <c r="L17" s="665">
        <f>'[5]IEPS INCREMENTO'!L19+'[5]IEPS ESTIMACIONES'!L19</f>
        <v>95478.778171085389</v>
      </c>
      <c r="M17" s="665">
        <f>'[5]IEPS INCREMENTO'!M19+'[5]IEPS ESTIMACIONES'!M19</f>
        <v>96610.785086764852</v>
      </c>
      <c r="N17" s="665">
        <f>'[5]IEPS INCREMENTO'!N19+'[5]IEPS ESTIMACIONES'!N19</f>
        <v>111945.69090418058</v>
      </c>
      <c r="O17" s="666">
        <f t="shared" si="0"/>
        <v>1404723.36375</v>
      </c>
    </row>
    <row r="18" spans="1:15" ht="12.75" customHeight="1" x14ac:dyDescent="0.2">
      <c r="A18" s="663" t="s">
        <v>287</v>
      </c>
      <c r="B18" s="675"/>
      <c r="C18" s="665">
        <f>'[5]IEPS INCREMENTO'!C20+'[5]IEPS ESTIMACIONES'!C20</f>
        <v>155867.94843714446</v>
      </c>
      <c r="D18" s="665">
        <f>'[5]IEPS INCREMENTO'!D20+'[5]IEPS ESTIMACIONES'!D20</f>
        <v>221693.73228103877</v>
      </c>
      <c r="E18" s="665">
        <f>'[5]IEPS INCREMENTO'!E20+'[5]IEPS ESTIMACIONES'!E20</f>
        <v>211346.56686903795</v>
      </c>
      <c r="F18" s="665">
        <f>'[5]IEPS INCREMENTO'!F20+'[5]IEPS ESTIMACIONES'!F20</f>
        <v>145547.45263045293</v>
      </c>
      <c r="G18" s="665">
        <f>'[5]IEPS INCREMENTO'!G20+'[5]IEPS ESTIMACIONES'!G20</f>
        <v>166642.60469809893</v>
      </c>
      <c r="H18" s="665">
        <f>'[5]IEPS INCREMENTO'!H20+'[5]IEPS ESTIMACIONES'!H20</f>
        <v>175666.10360185825</v>
      </c>
      <c r="I18" s="665">
        <f>'[5]IEPS INCREMENTO'!I20+'[5]IEPS ESTIMACIONES'!I20</f>
        <v>180862.63706099588</v>
      </c>
      <c r="J18" s="665">
        <f>'[5]IEPS INCREMENTO'!J20+'[5]IEPS ESTIMACIONES'!J20</f>
        <v>187125.80863905165</v>
      </c>
      <c r="K18" s="665">
        <f>'[5]IEPS INCREMENTO'!K20+'[5]IEPS ESTIMACIONES'!K20</f>
        <v>225056.26513570122</v>
      </c>
      <c r="L18" s="665">
        <f>'[5]IEPS INCREMENTO'!L20+'[5]IEPS ESTIMACIONES'!L20</f>
        <v>158080.89580214387</v>
      </c>
      <c r="M18" s="665">
        <f>'[5]IEPS INCREMENTO'!M20+'[5]IEPS ESTIMACIONES'!M20</f>
        <v>157790.77687047771</v>
      </c>
      <c r="N18" s="665">
        <f>'[5]IEPS INCREMENTO'!N20+'[5]IEPS ESTIMACIONES'!N20</f>
        <v>173368.57172399861</v>
      </c>
      <c r="O18" s="666">
        <f t="shared" si="0"/>
        <v>2159049.3637500005</v>
      </c>
    </row>
    <row r="19" spans="1:15" ht="12.75" customHeight="1" x14ac:dyDescent="0.2">
      <c r="A19" s="663" t="s">
        <v>288</v>
      </c>
      <c r="B19" s="675"/>
      <c r="C19" s="665">
        <f>'[5]IEPS INCREMENTO'!C21+'[5]IEPS ESTIMACIONES'!C21</f>
        <v>132446.388523259</v>
      </c>
      <c r="D19" s="665">
        <f>'[5]IEPS INCREMENTO'!D21+'[5]IEPS ESTIMACIONES'!D21</f>
        <v>185960.52175018753</v>
      </c>
      <c r="E19" s="665">
        <f>'[5]IEPS INCREMENTO'!E21+'[5]IEPS ESTIMACIONES'!E21</f>
        <v>186780.85126775343</v>
      </c>
      <c r="F19" s="665">
        <f>'[5]IEPS INCREMENTO'!F21+'[5]IEPS ESTIMACIONES'!F21</f>
        <v>117642.34294013977</v>
      </c>
      <c r="G19" s="665">
        <f>'[5]IEPS INCREMENTO'!G21+'[5]IEPS ESTIMACIONES'!G21</f>
        <v>140056.19963313034</v>
      </c>
      <c r="H19" s="665">
        <f>'[5]IEPS INCREMENTO'!H21+'[5]IEPS ESTIMACIONES'!H21</f>
        <v>147871.19553532783</v>
      </c>
      <c r="I19" s="665">
        <f>'[5]IEPS INCREMENTO'!I21+'[5]IEPS ESTIMACIONES'!I21</f>
        <v>152616.83829788945</v>
      </c>
      <c r="J19" s="665">
        <f>'[5]IEPS INCREMENTO'!J21+'[5]IEPS ESTIMACIONES'!J21</f>
        <v>157822.218499134</v>
      </c>
      <c r="K19" s="665">
        <f>'[5]IEPS INCREMENTO'!K21+'[5]IEPS ESTIMACIONES'!K21</f>
        <v>196706.54219072097</v>
      </c>
      <c r="L19" s="665">
        <f>'[5]IEPS INCREMENTO'!L21+'[5]IEPS ESTIMACIONES'!L21</f>
        <v>130371.76176872454</v>
      </c>
      <c r="M19" s="665">
        <f>'[5]IEPS INCREMENTO'!M21+'[5]IEPS ESTIMACIONES'!M21</f>
        <v>130711.10837604741</v>
      </c>
      <c r="N19" s="665">
        <f>'[5]IEPS INCREMENTO'!N21+'[5]IEPS ESTIMACIONES'!N21</f>
        <v>146181.39496768572</v>
      </c>
      <c r="O19" s="666">
        <f t="shared" si="0"/>
        <v>1825167.3637500003</v>
      </c>
    </row>
    <row r="20" spans="1:15" ht="12.75" customHeight="1" x14ac:dyDescent="0.2">
      <c r="A20" s="663" t="s">
        <v>289</v>
      </c>
      <c r="B20" s="675"/>
      <c r="C20" s="665">
        <f>'[5]IEPS INCREMENTO'!C22+'[5]IEPS ESTIMACIONES'!C22</f>
        <v>83579.183270831316</v>
      </c>
      <c r="D20" s="665">
        <f>'[5]IEPS INCREMENTO'!D22+'[5]IEPS ESTIMACIONES'!D22</f>
        <v>111406.04545742387</v>
      </c>
      <c r="E20" s="665">
        <f>'[5]IEPS INCREMENTO'!E22+'[5]IEPS ESTIMACIONES'!E22</f>
        <v>135526.4569885302</v>
      </c>
      <c r="F20" s="665">
        <f>'[5]IEPS INCREMENTO'!F22+'[5]IEPS ESTIMACIONES'!F22</f>
        <v>59420.570870227166</v>
      </c>
      <c r="G20" s="665">
        <f>'[5]IEPS INCREMENTO'!G22+'[5]IEPS ESTIMACIONES'!G22</f>
        <v>84585.798942022971</v>
      </c>
      <c r="H20" s="665">
        <f>'[5]IEPS INCREMENTO'!H22+'[5]IEPS ESTIMACIONES'!H22</f>
        <v>89879.350310097798</v>
      </c>
      <c r="I20" s="665">
        <f>'[5]IEPS INCREMENTO'!I22+'[5]IEPS ESTIMACIONES'!I22</f>
        <v>93684.245816840237</v>
      </c>
      <c r="J20" s="665">
        <f>'[5]IEPS INCREMENTO'!J22+'[5]IEPS ESTIMACIONES'!J22</f>
        <v>96682.629194861453</v>
      </c>
      <c r="K20" s="665">
        <f>'[5]IEPS INCREMENTO'!K22+'[5]IEPS ESTIMACIONES'!K22</f>
        <v>137557.12024378698</v>
      </c>
      <c r="L20" s="665">
        <f>'[5]IEPS INCREMENTO'!L22+'[5]IEPS ESTIMACIONES'!L22</f>
        <v>72558.877180479278</v>
      </c>
      <c r="M20" s="665">
        <f>'[5]IEPS INCREMENTO'!M22+'[5]IEPS ESTIMACIONES'!M22</f>
        <v>74211.553122236117</v>
      </c>
      <c r="N20" s="665">
        <f>'[5]IEPS INCREMENTO'!N22+'[5]IEPS ESTIMACIONES'!N22</f>
        <v>89457.5323526625</v>
      </c>
      <c r="O20" s="666">
        <f t="shared" si="0"/>
        <v>1128549.3637499998</v>
      </c>
    </row>
    <row r="21" spans="1:15" ht="12.75" customHeight="1" x14ac:dyDescent="0.2">
      <c r="A21" s="663" t="s">
        <v>163</v>
      </c>
      <c r="B21" s="675"/>
      <c r="C21" s="665">
        <f>'[5]IEPS INCREMENTO'!C23+'[5]IEPS ESTIMACIONES'!C23</f>
        <v>117988.63548999638</v>
      </c>
      <c r="D21" s="665">
        <f>'[5]IEPS INCREMENTO'!D23+'[5]IEPS ESTIMACIONES'!D23</f>
        <v>163902.98438546457</v>
      </c>
      <c r="E21" s="665">
        <f>'[5]IEPS INCREMENTO'!E23+'[5]IEPS ESTIMACIONES'!E23</f>
        <v>171616.8292916519</v>
      </c>
      <c r="F21" s="665">
        <f>'[5]IEPS INCREMENTO'!F23+'[5]IEPS ESTIMACIONES'!F23</f>
        <v>100416.96658809463</v>
      </c>
      <c r="G21" s="665">
        <f>'[5]IEPS INCREMENTO'!G23+'[5]IEPS ESTIMACIONES'!G23</f>
        <v>123644.83848191513</v>
      </c>
      <c r="H21" s="665">
        <f>'[5]IEPS INCREMENTO'!H23+'[5]IEPS ESTIMACIONES'!H23</f>
        <v>130713.84487697577</v>
      </c>
      <c r="I21" s="665">
        <f>'[5]IEPS INCREMENTO'!I23+'[5]IEPS ESTIMACIONES'!I23</f>
        <v>135181.16004905832</v>
      </c>
      <c r="J21" s="665">
        <f>'[5]IEPS INCREMENTO'!J23+'[5]IEPS ESTIMACIONES'!J23</f>
        <v>139733.58261029597</v>
      </c>
      <c r="K21" s="665">
        <f>'[5]IEPS INCREMENTO'!K23+'[5]IEPS ESTIMACIONES'!K23</f>
        <v>179206.71321233816</v>
      </c>
      <c r="L21" s="665">
        <f>'[5]IEPS INCREMENTO'!L23+'[5]IEPS ESTIMACIONES'!L23</f>
        <v>113267.35804439163</v>
      </c>
      <c r="M21" s="665">
        <f>'[5]IEPS INCREMENTO'!M23+'[5]IEPS ESTIMACIONES'!M23</f>
        <v>113995.2636263991</v>
      </c>
      <c r="N21" s="665">
        <f>'[5]IEPS INCREMENTO'!N23+'[5]IEPS ESTIMACIONES'!N23</f>
        <v>129399.1870934185</v>
      </c>
      <c r="O21" s="666">
        <f t="shared" si="0"/>
        <v>1619067.3637500005</v>
      </c>
    </row>
    <row r="22" spans="1:15" ht="12.75" customHeight="1" x14ac:dyDescent="0.2">
      <c r="A22" s="663" t="s">
        <v>164</v>
      </c>
      <c r="B22" s="675"/>
      <c r="C22" s="665">
        <f>'[5]IEPS INCREMENTO'!C24+'[5]IEPS ESTIMACIONES'!C24</f>
        <v>64350.371736592017</v>
      </c>
      <c r="D22" s="665">
        <f>'[5]IEPS INCREMENTO'!D24+'[5]IEPS ESTIMACIONES'!D24</f>
        <v>82069.520762342305</v>
      </c>
      <c r="E22" s="665">
        <f>'[5]IEPS INCREMENTO'!E24+'[5]IEPS ESTIMACIONES'!E24</f>
        <v>115358.30776031513</v>
      </c>
      <c r="F22" s="665">
        <f>'[5]IEPS INCREMENTO'!F24+'[5]IEPS ESTIMACIONES'!F24</f>
        <v>36510.820322007115</v>
      </c>
      <c r="G22" s="665">
        <f>'[5]IEPS INCREMENTO'!G24+'[5]IEPS ESTIMACIONES'!G24</f>
        <v>62758.688610906764</v>
      </c>
      <c r="H22" s="665">
        <f>'[5]IEPS INCREMENTO'!H24+'[5]IEPS ESTIMACIONES'!H24</f>
        <v>67060.073934489526</v>
      </c>
      <c r="I22" s="665">
        <f>'[5]IEPS INCREMENTO'!I24+'[5]IEPS ESTIMACIONES'!I24</f>
        <v>70494.793745894844</v>
      </c>
      <c r="J22" s="665">
        <f>'[5]IEPS INCREMENTO'!J24+'[5]IEPS ESTIMACIONES'!J24</f>
        <v>72624.743462706858</v>
      </c>
      <c r="K22" s="665">
        <f>'[5]IEPS INCREMENTO'!K24+'[5]IEPS ESTIMACIONES'!K24</f>
        <v>114282.34770253779</v>
      </c>
      <c r="L22" s="665">
        <f>'[5]IEPS INCREMENTO'!L24+'[5]IEPS ESTIMACIONES'!L24</f>
        <v>49810.020227116496</v>
      </c>
      <c r="M22" s="665">
        <f>'[5]IEPS INCREMENTO'!M24+'[5]IEPS ESTIMACIONES'!M24</f>
        <v>51979.479605203851</v>
      </c>
      <c r="N22" s="665">
        <f>'[5]IEPS INCREMENTO'!N24+'[5]IEPS ESTIMACIONES'!N24</f>
        <v>67137.195879887091</v>
      </c>
      <c r="O22" s="666">
        <f t="shared" si="0"/>
        <v>854436.36374999979</v>
      </c>
    </row>
    <row r="23" spans="1:15" ht="12.75" customHeight="1" x14ac:dyDescent="0.2">
      <c r="A23" s="663" t="s">
        <v>165</v>
      </c>
      <c r="B23" s="675"/>
      <c r="C23" s="665">
        <f>'[5]IEPS INCREMENTO'!C25+'[5]IEPS ESTIMACIONES'!C25</f>
        <v>113506.73204968494</v>
      </c>
      <c r="D23" s="665">
        <f>'[5]IEPS INCREMENTO'!D25+'[5]IEPS ESTIMACIONES'!D25</f>
        <v>157065.1478024004</v>
      </c>
      <c r="E23" s="665">
        <f>'[5]IEPS INCREMENTO'!E25+'[5]IEPS ESTIMACIONES'!E25</f>
        <v>166915.98247906042</v>
      </c>
      <c r="F23" s="665">
        <f>'[5]IEPS INCREMENTO'!F25+'[5]IEPS ESTIMACIONES'!F25</f>
        <v>95077.099918960623</v>
      </c>
      <c r="G23" s="665">
        <f>'[5]IEPS INCREMENTO'!G25+'[5]IEPS ESTIMACIONES'!G25</f>
        <v>118557.31652503842</v>
      </c>
      <c r="H23" s="665">
        <f>'[5]IEPS INCREMENTO'!H25+'[5]IEPS ESTIMACIONES'!H25</f>
        <v>125395.06617288661</v>
      </c>
      <c r="I23" s="665">
        <f>'[5]IEPS INCREMENTO'!I25+'[5]IEPS ESTIMACIONES'!I25</f>
        <v>129776.09979192067</v>
      </c>
      <c r="J23" s="665">
        <f>'[5]IEPS INCREMENTO'!J25+'[5]IEPS ESTIMACIONES'!J25</f>
        <v>134126.10548475618</v>
      </c>
      <c r="K23" s="665">
        <f>'[5]IEPS INCREMENTO'!K25+'[5]IEPS ESTIMACIONES'!K25</f>
        <v>173781.76622903947</v>
      </c>
      <c r="L23" s="665">
        <f>'[5]IEPS INCREMENTO'!L25+'[5]IEPS ESTIMACIONES'!L25</f>
        <v>107964.99288984842</v>
      </c>
      <c r="M23" s="665">
        <f>'[5]IEPS INCREMENTO'!M25+'[5]IEPS ESTIMACIONES'!M25</f>
        <v>108813.35175400812</v>
      </c>
      <c r="N23" s="665">
        <f>'[5]IEPS INCREMENTO'!N25+'[5]IEPS ESTIMACIONES'!N25</f>
        <v>124196.70265239564</v>
      </c>
      <c r="O23" s="666">
        <f t="shared" si="0"/>
        <v>1555176.3637499998</v>
      </c>
    </row>
    <row r="24" spans="1:15" ht="12.75" customHeight="1" thickBot="1" x14ac:dyDescent="0.25">
      <c r="A24" s="663" t="s">
        <v>166</v>
      </c>
      <c r="B24" s="676"/>
      <c r="C24" s="665">
        <f>'[5]IEPS INCREMENTO'!C26+'[5]IEPS ESTIMACIONES'!C26</f>
        <v>125506.66706729293</v>
      </c>
      <c r="D24" s="665">
        <f>'[5]IEPS INCREMENTO'!D26+'[5]IEPS ESTIMACIONES'!D26</f>
        <v>175372.90381512052</v>
      </c>
      <c r="E24" s="665">
        <f>'[5]IEPS INCREMENTO'!E26+'[5]IEPS ESTIMACIONES'!E26</f>
        <v>179502.12071922468</v>
      </c>
      <c r="F24" s="665">
        <f>'[5]IEPS INCREMENTO'!F26+'[5]IEPS ESTIMACIONES'!F26</f>
        <v>109374.16229115809</v>
      </c>
      <c r="G24" s="665">
        <f>'[5]IEPS INCREMENTO'!G26+'[5]IEPS ESTIMACIONES'!G26</f>
        <v>132178.74628054703</v>
      </c>
      <c r="H24" s="665">
        <f>'[5]IEPS INCREMENTO'!H26+'[5]IEPS ESTIMACIONES'!H26</f>
        <v>139635.66721931886</v>
      </c>
      <c r="I24" s="665">
        <f>'[5]IEPS INCREMENTO'!I26+'[5]IEPS ESTIMACIONES'!I26</f>
        <v>144247.7127384505</v>
      </c>
      <c r="J24" s="665">
        <f>'[5]IEPS INCREMENTO'!J26+'[5]IEPS ESTIMACIONES'!J26</f>
        <v>149139.67327249175</v>
      </c>
      <c r="K24" s="665">
        <f>'[5]IEPS INCREMENTO'!K26+'[5]IEPS ESTIMACIONES'!K26</f>
        <v>188306.6242810972</v>
      </c>
      <c r="L24" s="665">
        <f>'[5]IEPS INCREMENTO'!L26+'[5]IEPS ESTIMACIONES'!L26</f>
        <v>122161.64798104473</v>
      </c>
      <c r="M24" s="665">
        <f>'[5]IEPS INCREMENTO'!M26+'[5]IEPS ESTIMACIONES'!M26</f>
        <v>122687.50289621622</v>
      </c>
      <c r="N24" s="665">
        <f>'[5]IEPS INCREMENTO'!N26+'[5]IEPS ESTIMACIONES'!N26</f>
        <v>138125.93518803743</v>
      </c>
      <c r="O24" s="666">
        <f t="shared" si="0"/>
        <v>1726239.36375</v>
      </c>
    </row>
    <row r="25" spans="1:15" ht="13.5" thickBot="1" x14ac:dyDescent="0.25">
      <c r="A25" s="668" t="s">
        <v>290</v>
      </c>
      <c r="B25" s="669">
        <f>SUM(B5:B24)</f>
        <v>0</v>
      </c>
      <c r="C25" s="670">
        <f>SUM(C5:C24)</f>
        <v>2625795.3656119602</v>
      </c>
      <c r="D25" s="670">
        <f t="shared" ref="D25:O25" si="1">SUM(D5:D24)</f>
        <v>3683918.375220194</v>
      </c>
      <c r="E25" s="670">
        <f t="shared" si="1"/>
        <v>3711354.5901933066</v>
      </c>
      <c r="F25" s="670">
        <f t="shared" si="1"/>
        <v>2325286.2566395225</v>
      </c>
      <c r="G25" s="670">
        <f t="shared" si="1"/>
        <v>2774865.8148206621</v>
      </c>
      <c r="H25" s="670">
        <f t="shared" si="1"/>
        <v>2929972.1496531935</v>
      </c>
      <c r="I25" s="670">
        <f t="shared" si="1"/>
        <v>3024439.6807596595</v>
      </c>
      <c r="J25" s="670">
        <f t="shared" si="1"/>
        <v>3127502.5525605395</v>
      </c>
      <c r="K25" s="670">
        <f t="shared" si="1"/>
        <v>3906131.117449007</v>
      </c>
      <c r="L25" s="670">
        <f t="shared" si="1"/>
        <v>2580068.1894155587</v>
      </c>
      <c r="M25" s="670">
        <f t="shared" si="1"/>
        <v>2587476.815921511</v>
      </c>
      <c r="N25" s="670">
        <f t="shared" si="1"/>
        <v>2896776.3667548867</v>
      </c>
      <c r="O25" s="670">
        <f t="shared" si="1"/>
        <v>36173587.274999999</v>
      </c>
    </row>
    <row r="26" spans="1:15" hidden="1" x14ac:dyDescent="0.2">
      <c r="A26" s="679" t="s">
        <v>355</v>
      </c>
      <c r="B26" s="679"/>
      <c r="C26" s="680">
        <f>'[4]PRESUPUSTO ESTATAL 2017'!B52</f>
        <v>1521250.4468291907</v>
      </c>
      <c r="D26" s="680">
        <f>'[4]PRESUPUSTO ESTATAL 2017'!C52</f>
        <v>1992155.4322061262</v>
      </c>
      <c r="E26" s="680">
        <f>'[4]PRESUPUSTO ESTATAL 2017'!D52</f>
        <v>1561223.5204092669</v>
      </c>
      <c r="F26" s="680">
        <f>'[4]PRESUPUSTO ESTATAL 2017'!E52</f>
        <v>1709133.4840227321</v>
      </c>
      <c r="G26" s="680">
        <f>'[4]PRESUPUSTO ESTATAL 2017'!F52</f>
        <v>1794276.5472658337</v>
      </c>
      <c r="H26" s="680">
        <f>'[4]PRESUPUSTO ESTATAL 2017'!G52</f>
        <v>1664193.9164477964</v>
      </c>
      <c r="I26" s="680">
        <f>'[4]PRESUPUSTO ESTATAL 2017'!H52</f>
        <v>1722567.8942233375</v>
      </c>
      <c r="J26" s="680">
        <f>'[4]PRESUPUSTO ESTATAL 2017'!I52</f>
        <v>1774773.0179705636</v>
      </c>
      <c r="K26" s="680">
        <f>'[4]PRESUPUSTO ESTATAL 2017'!J52</f>
        <v>1814273.0193366187</v>
      </c>
      <c r="L26" s="680">
        <f>'[4]PRESUPUSTO ESTATAL 2017'!K52</f>
        <v>1772942.0603667807</v>
      </c>
      <c r="M26" s="680">
        <f>'[4]PRESUPUSTO ESTATAL 2017'!L52</f>
        <v>1696337.0334839264</v>
      </c>
      <c r="N26" s="680">
        <f>'[4]PRESUPUSTO ESTATAL 2017'!M52</f>
        <v>1676873.6274378267</v>
      </c>
      <c r="O26" s="680">
        <f>SUM(C26:N26)</f>
        <v>20700000</v>
      </c>
    </row>
    <row r="27" spans="1:15" hidden="1" x14ac:dyDescent="0.2">
      <c r="A27" s="681" t="s">
        <v>356</v>
      </c>
      <c r="B27" s="681"/>
      <c r="C27" s="682">
        <f>C26-C25</f>
        <v>-1104544.9187827695</v>
      </c>
      <c r="D27" s="682">
        <f t="shared" ref="D27:O27" si="2">D26-D25</f>
        <v>-1691762.9430140678</v>
      </c>
      <c r="E27" s="682">
        <f t="shared" si="2"/>
        <v>-2150131.0697840396</v>
      </c>
      <c r="F27" s="682">
        <f t="shared" si="2"/>
        <v>-616152.77261679037</v>
      </c>
      <c r="G27" s="682">
        <f t="shared" si="2"/>
        <v>-980589.26755482843</v>
      </c>
      <c r="H27" s="682">
        <f t="shared" si="2"/>
        <v>-1265778.2332053971</v>
      </c>
      <c r="I27" s="682">
        <f t="shared" si="2"/>
        <v>-1301871.786536322</v>
      </c>
      <c r="J27" s="682">
        <f t="shared" si="2"/>
        <v>-1352729.5345899758</v>
      </c>
      <c r="K27" s="682">
        <f t="shared" si="2"/>
        <v>-2091858.0981123883</v>
      </c>
      <c r="L27" s="682">
        <f t="shared" si="2"/>
        <v>-807126.12904877798</v>
      </c>
      <c r="M27" s="682">
        <f t="shared" si="2"/>
        <v>-891139.7824375846</v>
      </c>
      <c r="N27" s="682">
        <f t="shared" si="2"/>
        <v>-1219902.73931706</v>
      </c>
      <c r="O27" s="682">
        <f t="shared" si="2"/>
        <v>-15473587.274999999</v>
      </c>
    </row>
    <row r="28" spans="1:15" x14ac:dyDescent="0.2">
      <c r="A28" s="672"/>
    </row>
    <row r="29" spans="1:15" x14ac:dyDescent="0.2">
      <c r="A29" s="672" t="s">
        <v>291</v>
      </c>
    </row>
    <row r="32" spans="1:15" x14ac:dyDescent="0.2">
      <c r="C32" s="667"/>
      <c r="D32" s="667"/>
      <c r="E32" s="667"/>
      <c r="F32" s="667"/>
      <c r="G32" s="667"/>
      <c r="H32" s="667"/>
      <c r="I32" s="667"/>
      <c r="J32" s="667"/>
      <c r="K32" s="667"/>
      <c r="L32" s="667"/>
      <c r="M32" s="667"/>
      <c r="N32" s="667"/>
      <c r="O32" s="667"/>
    </row>
    <row r="36" spans="11:11" x14ac:dyDescent="0.2">
      <c r="K36" s="667"/>
    </row>
  </sheetData>
  <mergeCells count="2">
    <mergeCell ref="A1:O1"/>
    <mergeCell ref="A2:O2"/>
  </mergeCells>
  <printOptions horizontalCentered="1"/>
  <pageMargins left="0.70866141732283472" right="0.47244094488188981" top="0.98425196850393704" bottom="0.98425196850393704" header="0" footer="0"/>
  <pageSetup paperSize="5"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9">
    <tabColor theme="4" tint="0.39997558519241921"/>
  </sheetPr>
  <dimension ref="A1:Q26"/>
  <sheetViews>
    <sheetView workbookViewId="0">
      <selection activeCell="D8" sqref="D8"/>
    </sheetView>
  </sheetViews>
  <sheetFormatPr baseColWidth="10" defaultRowHeight="12.75" x14ac:dyDescent="0.2"/>
  <cols>
    <col min="1" max="1" width="16.85546875" style="658" customWidth="1"/>
    <col min="2" max="2" width="9.28515625" style="658" hidden="1" customWidth="1"/>
    <col min="3" max="10" width="7.85546875" style="658" customWidth="1"/>
    <col min="11" max="11" width="9.42578125" style="658" customWidth="1"/>
    <col min="12" max="12" width="7.85546875" style="658" customWidth="1"/>
    <col min="13" max="13" width="9.42578125" style="658" customWidth="1"/>
    <col min="14" max="14" width="8.5703125" style="658" customWidth="1"/>
    <col min="15" max="15" width="8.7109375" style="658" bestFit="1" customWidth="1"/>
    <col min="16" max="16" width="11.7109375" style="658" bestFit="1" customWidth="1"/>
    <col min="17" max="16384" width="11.42578125" style="658"/>
  </cols>
  <sheetData>
    <row r="1" spans="1:16" x14ac:dyDescent="0.2">
      <c r="A1" s="1021" t="s">
        <v>436</v>
      </c>
      <c r="B1" s="1021"/>
      <c r="C1" s="1021"/>
      <c r="D1" s="1021"/>
      <c r="E1" s="1021"/>
      <c r="F1" s="1021"/>
      <c r="G1" s="1021"/>
      <c r="H1" s="1021"/>
      <c r="I1" s="1021"/>
      <c r="J1" s="1021"/>
      <c r="K1" s="1021"/>
      <c r="L1" s="1021"/>
      <c r="M1" s="1021"/>
      <c r="N1" s="1021"/>
      <c r="O1" s="1021"/>
    </row>
    <row r="2" spans="1:16" ht="13.5" thickBot="1" x14ac:dyDescent="0.25"/>
    <row r="3" spans="1:16" ht="23.25" thickBot="1" x14ac:dyDescent="0.25">
      <c r="A3" s="659" t="s">
        <v>351</v>
      </c>
      <c r="B3" s="660" t="s">
        <v>283</v>
      </c>
      <c r="C3" s="659" t="s">
        <v>1</v>
      </c>
      <c r="D3" s="661" t="s">
        <v>2</v>
      </c>
      <c r="E3" s="659" t="s">
        <v>3</v>
      </c>
      <c r="F3" s="661" t="s">
        <v>4</v>
      </c>
      <c r="G3" s="659" t="s">
        <v>5</v>
      </c>
      <c r="H3" s="659" t="s">
        <v>6</v>
      </c>
      <c r="I3" s="659" t="s">
        <v>7</v>
      </c>
      <c r="J3" s="661" t="s">
        <v>8</v>
      </c>
      <c r="K3" s="659" t="s">
        <v>9</v>
      </c>
      <c r="L3" s="661" t="s">
        <v>10</v>
      </c>
      <c r="M3" s="659" t="s">
        <v>11</v>
      </c>
      <c r="N3" s="659" t="s">
        <v>12</v>
      </c>
      <c r="O3" s="662" t="s">
        <v>169</v>
      </c>
    </row>
    <row r="4" spans="1:16" ht="12.75" customHeight="1" x14ac:dyDescent="0.2">
      <c r="A4" s="663" t="s">
        <v>284</v>
      </c>
      <c r="B4" s="674"/>
      <c r="C4" s="665">
        <f>[5]IEPSGASINCREMENTO!C7+'[5]IEPSGAS ESTIMACIONES'!C7</f>
        <v>158003.16191889267</v>
      </c>
      <c r="D4" s="665">
        <f>[5]IEPSGASINCREMENTO!D7+'[5]IEPSGAS ESTIMACIONES'!D7</f>
        <v>159173.21571353698</v>
      </c>
      <c r="E4" s="665">
        <f>[5]IEPSGASINCREMENTO!E7+'[5]IEPSGAS ESTIMACIONES'!E7</f>
        <v>154171.52363969112</v>
      </c>
      <c r="F4" s="665">
        <f>[5]IEPSGASINCREMENTO!F7+'[5]IEPSGAS ESTIMACIONES'!F7</f>
        <v>164287.98695899823</v>
      </c>
      <c r="G4" s="665">
        <f>[5]IEPSGASINCREMENTO!G7+'[5]IEPSGAS ESTIMACIONES'!G7</f>
        <v>162362.89788612153</v>
      </c>
      <c r="H4" s="665">
        <f>[5]IEPSGASINCREMENTO!H7+'[5]IEPSGAS ESTIMACIONES'!H7</f>
        <v>167315.45673259062</v>
      </c>
      <c r="I4" s="665">
        <f>[5]IEPSGASINCREMENTO!I7+'[5]IEPSGAS ESTIMACIONES'!I7</f>
        <v>160873.6114335173</v>
      </c>
      <c r="J4" s="665">
        <f>[5]IEPSGASINCREMENTO!J7+'[5]IEPSGAS ESTIMACIONES'!J7</f>
        <v>163183.68391553813</v>
      </c>
      <c r="K4" s="665">
        <f>[5]IEPSGASINCREMENTO!K7+'[5]IEPSGAS ESTIMACIONES'!K7</f>
        <v>159034.06965854272</v>
      </c>
      <c r="L4" s="665">
        <f>[5]IEPSGASINCREMENTO!L7+'[5]IEPSGAS ESTIMACIONES'!L7</f>
        <v>153955.79267953325</v>
      </c>
      <c r="M4" s="665">
        <f>[5]IEPSGASINCREMENTO!M7+'[5]IEPSGAS ESTIMACIONES'!M7</f>
        <v>157126.69362675384</v>
      </c>
      <c r="N4" s="665">
        <f>[5]IEPSGASINCREMENTO!N7+'[5]IEPSGAS ESTIMACIONES'!N7</f>
        <v>146646.55149290251</v>
      </c>
      <c r="O4" s="666">
        <f>SUM(C4:N4)</f>
        <v>1906134.645656619</v>
      </c>
      <c r="P4" s="667"/>
    </row>
    <row r="5" spans="1:16" ht="12.75" customHeight="1" x14ac:dyDescent="0.2">
      <c r="A5" s="663" t="s">
        <v>148</v>
      </c>
      <c r="B5" s="675"/>
      <c r="C5" s="665">
        <f>[5]IEPSGASINCREMENTO!C8+'[5]IEPSGAS ESTIMACIONES'!C8</f>
        <v>65458.589763628042</v>
      </c>
      <c r="D5" s="665">
        <f>[5]IEPSGASINCREMENTO!D8+'[5]IEPSGAS ESTIMACIONES'!D8</f>
        <v>65945.904965347596</v>
      </c>
      <c r="E5" s="665">
        <f>[5]IEPSGASINCREMENTO!E8+'[5]IEPSGAS ESTIMACIONES'!E8</f>
        <v>63519.116616850064</v>
      </c>
      <c r="F5" s="665">
        <f>[5]IEPSGASINCREMENTO!F8+'[5]IEPSGAS ESTIMACIONES'!F8</f>
        <v>67942.281697750092</v>
      </c>
      <c r="G5" s="665">
        <f>[5]IEPSGASINCREMENTO!G8+'[5]IEPSGAS ESTIMACIONES'!G8</f>
        <v>66963.947231574799</v>
      </c>
      <c r="H5" s="665">
        <f>[5]IEPSGASINCREMENTO!H8+'[5]IEPSGAS ESTIMACIONES'!H8</f>
        <v>69178.227965725091</v>
      </c>
      <c r="I5" s="665">
        <f>[5]IEPSGASINCREMENTO!I8+'[5]IEPSGAS ESTIMACIONES'!I8</f>
        <v>66337.005001986079</v>
      </c>
      <c r="J5" s="665">
        <f>[5]IEPSGASINCREMENTO!J8+'[5]IEPSGAS ESTIMACIONES'!J8</f>
        <v>67342.852675681948</v>
      </c>
      <c r="K5" s="665">
        <f>[5]IEPSGASINCREMENTO!K8+'[5]IEPSGAS ESTIMACIONES'!K8</f>
        <v>65680.361947734738</v>
      </c>
      <c r="L5" s="665">
        <f>[5]IEPSGASINCREMENTO!L8+'[5]IEPSGAS ESTIMACIONES'!L8</f>
        <v>63386.587151522326</v>
      </c>
      <c r="M5" s="665">
        <f>[5]IEPSGASINCREMENTO!M8+'[5]IEPSGAS ESTIMACIONES'!M8</f>
        <v>64832.556450389777</v>
      </c>
      <c r="N5" s="665">
        <f>[5]IEPSGASINCREMENTO!N8+'[5]IEPSGAS ESTIMACIONES'!N8</f>
        <v>60972.464779506452</v>
      </c>
      <c r="O5" s="666">
        <f t="shared" ref="O5:O23" si="0">SUM(C5:N5)</f>
        <v>787559.89624769695</v>
      </c>
      <c r="P5" s="667"/>
    </row>
    <row r="6" spans="1:16" ht="12.75" customHeight="1" x14ac:dyDescent="0.2">
      <c r="A6" s="663" t="s">
        <v>149</v>
      </c>
      <c r="B6" s="675"/>
      <c r="C6" s="665">
        <f>[5]IEPSGASINCREMENTO!C9+'[5]IEPSGAS ESTIMACIONES'!C9</f>
        <v>48125.478487627683</v>
      </c>
      <c r="D6" s="665">
        <f>[5]IEPSGASINCREMENTO!D9+'[5]IEPSGAS ESTIMACIONES'!D9</f>
        <v>48484.389989804287</v>
      </c>
      <c r="E6" s="665">
        <f>[5]IEPSGASINCREMENTO!E9+'[5]IEPSGAS ESTIMACIONES'!E9</f>
        <v>46612.839107632455</v>
      </c>
      <c r="F6" s="665">
        <f>[5]IEPSGASINCREMENTO!F9+'[5]IEPSGAS ESTIMACIONES'!F9</f>
        <v>49921.934174082446</v>
      </c>
      <c r="G6" s="665">
        <f>[5]IEPSGASINCREMENTO!G9+'[5]IEPSGAS ESTIMACIONES'!G9</f>
        <v>49158.121332023744</v>
      </c>
      <c r="H6" s="665">
        <f>[5]IEPSGASINCREMENTO!H9+'[5]IEPSGAS ESTIMACIONES'!H9</f>
        <v>50826.101547345061</v>
      </c>
      <c r="I6" s="665">
        <f>[5]IEPSGASINCREMENTO!I9+'[5]IEPSGAS ESTIMACIONES'!I9</f>
        <v>48694.739060591892</v>
      </c>
      <c r="J6" s="665">
        <f>[5]IEPSGASINCREMENTO!J9+'[5]IEPSGAS ESTIMACIONES'!J9</f>
        <v>49446.268280952019</v>
      </c>
      <c r="K6" s="665">
        <f>[5]IEPSGASINCREMENTO!K9+'[5]IEPSGAS ESTIMACIONES'!K9</f>
        <v>48237.949047840186</v>
      </c>
      <c r="L6" s="665">
        <f>[5]IEPSGASINCREMENTO!L9+'[5]IEPSGAS ESTIMACIONES'!L9</f>
        <v>46504.772160810142</v>
      </c>
      <c r="M6" s="665">
        <f>[5]IEPSGASINCREMENTO!M9+'[5]IEPSGAS ESTIMACIONES'!M9</f>
        <v>47600.448032537344</v>
      </c>
      <c r="N6" s="665">
        <f>[5]IEPSGASINCREMENTO!N9+'[5]IEPSGAS ESTIMACIONES'!N9</f>
        <v>44881.147230831746</v>
      </c>
      <c r="O6" s="666">
        <f t="shared" si="0"/>
        <v>578494.18845207908</v>
      </c>
      <c r="P6" s="667"/>
    </row>
    <row r="7" spans="1:16" ht="12.75" customHeight="1" x14ac:dyDescent="0.2">
      <c r="A7" s="663" t="s">
        <v>285</v>
      </c>
      <c r="B7" s="675"/>
      <c r="C7" s="665">
        <f>[5]IEPSGASINCREMENTO!C10+'[5]IEPSGAS ESTIMACIONES'!C10</f>
        <v>461516.49954258977</v>
      </c>
      <c r="D7" s="665">
        <f>[5]IEPSGASINCREMENTO!D10+'[5]IEPSGAS ESTIMACIONES'!D10</f>
        <v>465148.47126934107</v>
      </c>
      <c r="E7" s="665">
        <f>[5]IEPSGASINCREMENTO!E10+'[5]IEPSGAS ESTIMACIONES'!E10</f>
        <v>421049.98750199331</v>
      </c>
      <c r="F7" s="665">
        <f>[5]IEPSGASINCREMENTO!F10+'[5]IEPSGAS ESTIMACIONES'!F10</f>
        <v>469894.03767144686</v>
      </c>
      <c r="G7" s="665">
        <f>[5]IEPSGASINCREMENTO!G10+'[5]IEPSGAS ESTIMACIONES'!G10</f>
        <v>449238.12855146552</v>
      </c>
      <c r="H7" s="665">
        <f>[5]IEPSGASINCREMENTO!H10+'[5]IEPSGAS ESTIMACIONES'!H10</f>
        <v>477215.97163923073</v>
      </c>
      <c r="I7" s="665">
        <f>[5]IEPSGASINCREMENTO!I10+'[5]IEPSGAS ESTIMACIONES'!I10</f>
        <v>444060.62977539864</v>
      </c>
      <c r="J7" s="665">
        <f>[5]IEPSGASINCREMENTO!J10+'[5]IEPSGAS ESTIMACIONES'!J10</f>
        <v>454867.12775422557</v>
      </c>
      <c r="K7" s="665">
        <f>[5]IEPSGASINCREMENTO!K10+'[5]IEPSGAS ESTIMACIONES'!K10</f>
        <v>447455.79918356985</v>
      </c>
      <c r="L7" s="665">
        <f>[5]IEPSGASINCREMENTO!L10+'[5]IEPSGAS ESTIMACIONES'!L10</f>
        <v>416831.58916406828</v>
      </c>
      <c r="M7" s="665">
        <f>[5]IEPSGASINCREMENTO!M10+'[5]IEPSGAS ESTIMACIONES'!M10</f>
        <v>437094.71407056204</v>
      </c>
      <c r="N7" s="665">
        <f>[5]IEPSGASINCREMENTO!N10+'[5]IEPSGAS ESTIMACIONES'!N10</f>
        <v>446534.63989518961</v>
      </c>
      <c r="O7" s="666">
        <f t="shared" si="0"/>
        <v>5390907.5960190808</v>
      </c>
      <c r="P7" s="667"/>
    </row>
    <row r="8" spans="1:16" ht="12.75" customHeight="1" x14ac:dyDescent="0.2">
      <c r="A8" s="663" t="s">
        <v>151</v>
      </c>
      <c r="B8" s="675"/>
      <c r="C8" s="665">
        <f>[5]IEPSGASINCREMENTO!C11+'[5]IEPSGAS ESTIMACIONES'!C11</f>
        <v>297283.44680235273</v>
      </c>
      <c r="D8" s="665">
        <f>[5]IEPSGASINCREMENTO!D11+'[5]IEPSGAS ESTIMACIONES'!D11</f>
        <v>299512.54818395601</v>
      </c>
      <c r="E8" s="665">
        <f>[5]IEPSGASINCREMENTO!E11+'[5]IEPSGAS ESTIMACIONES'!E11</f>
        <v>286298.6536621541</v>
      </c>
      <c r="F8" s="665">
        <f>[5]IEPSGASINCREMENTO!F11+'[5]IEPSGAS ESTIMACIONES'!F11</f>
        <v>307821.2383964748</v>
      </c>
      <c r="G8" s="665">
        <f>[5]IEPSGASINCREMENTO!G11+'[5]IEPSGAS ESTIMACIONES'!G11</f>
        <v>302260.3827585337</v>
      </c>
      <c r="H8" s="665">
        <f>[5]IEPSGASINCREMENTO!H11+'[5]IEPSGAS ESTIMACIONES'!H11</f>
        <v>313321.25537628366</v>
      </c>
      <c r="I8" s="665">
        <f>[5]IEPSGASINCREMENTO!I11+'[5]IEPSGAS ESTIMACIONES'!I11</f>
        <v>299351.57617467543</v>
      </c>
      <c r="J8" s="665">
        <f>[5]IEPSGASINCREMENTO!J11+'[5]IEPSGAS ESTIMACIONES'!J11</f>
        <v>304221.46739004867</v>
      </c>
      <c r="K8" s="665">
        <f>[5]IEPSGASINCREMENTO!K11+'[5]IEPSGAS ESTIMACIONES'!K11</f>
        <v>297021.330310071</v>
      </c>
      <c r="L8" s="665">
        <f>[5]IEPSGASINCREMENTO!L11+'[5]IEPSGAS ESTIMACIONES'!L11</f>
        <v>285429.97519951296</v>
      </c>
      <c r="M8" s="665">
        <f>[5]IEPSGASINCREMENTO!M11+'[5]IEPSGAS ESTIMACIONES'!M11</f>
        <v>292814.85745173017</v>
      </c>
      <c r="N8" s="665">
        <f>[5]IEPSGASINCREMENTO!N11+'[5]IEPSGAS ESTIMACIONES'!N11</f>
        <v>278261.92511201667</v>
      </c>
      <c r="O8" s="666">
        <f t="shared" si="0"/>
        <v>3563598.6568178097</v>
      </c>
      <c r="P8" s="667"/>
    </row>
    <row r="9" spans="1:16" ht="12.75" customHeight="1" x14ac:dyDescent="0.2">
      <c r="A9" s="663" t="s">
        <v>286</v>
      </c>
      <c r="B9" s="675"/>
      <c r="C9" s="665">
        <f>[5]IEPSGASINCREMENTO!C12+'[5]IEPSGAS ESTIMACIONES'!C12</f>
        <v>152123.16341179315</v>
      </c>
      <c r="D9" s="665">
        <f>[5]IEPSGASINCREMENTO!D12+'[5]IEPSGAS ESTIMACIONES'!D12</f>
        <v>153283.91297864259</v>
      </c>
      <c r="E9" s="665">
        <f>[5]IEPSGASINCREMENTO!E12+'[5]IEPSGAS ESTIMACIONES'!E12</f>
        <v>143757.45375581307</v>
      </c>
      <c r="F9" s="665">
        <f>[5]IEPSGASINCREMENTO!F12+'[5]IEPSGAS ESTIMACIONES'!F12</f>
        <v>156579.77771525295</v>
      </c>
      <c r="G9" s="665">
        <f>[5]IEPSGASINCREMENTO!G12+'[5]IEPSGAS ESTIMACIONES'!G12</f>
        <v>152324.80390441854</v>
      </c>
      <c r="H9" s="665">
        <f>[5]IEPSGASINCREMENTO!H12+'[5]IEPSGAS ESTIMACIONES'!H12</f>
        <v>159251.58349912107</v>
      </c>
      <c r="I9" s="665">
        <f>[5]IEPSGASINCREMENTO!I12+'[5]IEPSGAS ESTIMACIONES'!I12</f>
        <v>150758.76267360966</v>
      </c>
      <c r="J9" s="665">
        <f>[5]IEPSGASINCREMENTO!J12+'[5]IEPSGAS ESTIMACIONES'!J12</f>
        <v>153631.28906512342</v>
      </c>
      <c r="K9" s="665">
        <f>[5]IEPSGASINCREMENTO!K12+'[5]IEPSGAS ESTIMACIONES'!K12</f>
        <v>150388.43759153117</v>
      </c>
      <c r="L9" s="665">
        <f>[5]IEPSGASINCREMENTO!L12+'[5]IEPSGAS ESTIMACIONES'!L12</f>
        <v>142976.5195940999</v>
      </c>
      <c r="M9" s="665">
        <f>[5]IEPSGASINCREMENTO!M12+'[5]IEPSGAS ESTIMACIONES'!M12</f>
        <v>147786.86913485371</v>
      </c>
      <c r="N9" s="665">
        <f>[5]IEPSGASINCREMENTO!N12+'[5]IEPSGAS ESTIMACIONES'!N12</f>
        <v>144095.0727897188</v>
      </c>
      <c r="O9" s="666">
        <f t="shared" si="0"/>
        <v>1806957.6461139782</v>
      </c>
      <c r="P9" s="667"/>
    </row>
    <row r="10" spans="1:16" ht="12.75" customHeight="1" x14ac:dyDescent="0.2">
      <c r="A10" s="663" t="s">
        <v>153</v>
      </c>
      <c r="B10" s="675"/>
      <c r="C10" s="665">
        <f>[5]IEPSGASINCREMENTO!C13+'[5]IEPSGAS ESTIMACIONES'!C13</f>
        <v>49732.15358347883</v>
      </c>
      <c r="D10" s="665">
        <f>[5]IEPSGASINCREMENTO!D13+'[5]IEPSGAS ESTIMACIONES'!D13</f>
        <v>50104.955027616947</v>
      </c>
      <c r="E10" s="665">
        <f>[5]IEPSGASINCREMENTO!E13+'[5]IEPSGAS ESTIMACIONES'!E13</f>
        <v>47908.450194461497</v>
      </c>
      <c r="F10" s="665">
        <f>[5]IEPSGASINCREMENTO!F13+'[5]IEPSGAS ESTIMACIONES'!F13</f>
        <v>51499.754998811353</v>
      </c>
      <c r="G10" s="665">
        <f>[5]IEPSGASINCREMENTO!G13+'[5]IEPSGAS ESTIMACIONES'!G13</f>
        <v>50576.639082730719</v>
      </c>
      <c r="H10" s="665">
        <f>[5]IEPSGASINCREMENTO!H13+'[5]IEPSGAS ESTIMACIONES'!H13</f>
        <v>52420.569246103027</v>
      </c>
      <c r="I10" s="665">
        <f>[5]IEPSGASINCREMENTO!I13+'[5]IEPSGAS ESTIMACIONES'!I13</f>
        <v>50090.422339830024</v>
      </c>
      <c r="J10" s="665">
        <f>[5]IEPSGASINCREMENTO!J13+'[5]IEPSGAS ESTIMACIONES'!J13</f>
        <v>50903.168846203276</v>
      </c>
      <c r="K10" s="665">
        <f>[5]IEPSGASINCREMENTO!K13+'[5]IEPSGAS ESTIMACIONES'!K13</f>
        <v>49696.426843734676</v>
      </c>
      <c r="L10" s="665">
        <f>[5]IEPSGASINCREMENTO!L13+'[5]IEPSGAS ESTIMACIONES'!L13</f>
        <v>47764.837330455637</v>
      </c>
      <c r="M10" s="665">
        <f>[5]IEPSGASINCREMENTO!M13+'[5]IEPSGAS ESTIMACIONES'!M13</f>
        <v>48995.010427735906</v>
      </c>
      <c r="N10" s="665">
        <f>[5]IEPSGASINCREMENTO!N13+'[5]IEPSGAS ESTIMACIONES'!N13</f>
        <v>46541.414092921143</v>
      </c>
      <c r="O10" s="666">
        <f t="shared" si="0"/>
        <v>596233.80201408314</v>
      </c>
      <c r="P10" s="667"/>
    </row>
    <row r="11" spans="1:16" ht="12.75" customHeight="1" x14ac:dyDescent="0.2">
      <c r="A11" s="663" t="s">
        <v>154</v>
      </c>
      <c r="B11" s="675"/>
      <c r="C11" s="665">
        <f>[5]IEPSGASINCREMENTO!C14+'[5]IEPSGAS ESTIMACIONES'!C14</f>
        <v>119587.20758981175</v>
      </c>
      <c r="D11" s="665">
        <f>[5]IEPSGASINCREMENTO!D14+'[5]IEPSGAS ESTIMACIONES'!D14</f>
        <v>120478.89904626022</v>
      </c>
      <c r="E11" s="665">
        <f>[5]IEPSGASINCREMENTO!E14+'[5]IEPSGAS ESTIMACIONES'!E14</f>
        <v>115851.56444765819</v>
      </c>
      <c r="F11" s="665">
        <f>[5]IEPSGASINCREMENTO!F14+'[5]IEPSGAS ESTIMACIONES'!F14</f>
        <v>124059.1101903736</v>
      </c>
      <c r="G11" s="665">
        <f>[5]IEPSGASINCREMENTO!G14+'[5]IEPSGAS ESTIMACIONES'!G14</f>
        <v>122172.98127823528</v>
      </c>
      <c r="H11" s="665">
        <f>[5]IEPSGASINCREMENTO!H14+'[5]IEPSGAS ESTIMACIONES'!H14</f>
        <v>126307.08092673833</v>
      </c>
      <c r="I11" s="665">
        <f>[5]IEPSGASINCREMENTO!I14+'[5]IEPSGAS ESTIMACIONES'!I14</f>
        <v>121022.17416028492</v>
      </c>
      <c r="J11" s="665">
        <f>[5]IEPSGASINCREMENTO!J14+'[5]IEPSGAS ESTIMACIONES'!J14</f>
        <v>122886.44660871149</v>
      </c>
      <c r="K11" s="665">
        <f>[5]IEPSGASINCREMENTO!K14+'[5]IEPSGAS ESTIMACIONES'!K14</f>
        <v>119880.16949595929</v>
      </c>
      <c r="L11" s="665">
        <f>[5]IEPSGASINCREMENTO!L14+'[5]IEPSGAS ESTIMACIONES'!L14</f>
        <v>115585.86242473146</v>
      </c>
      <c r="M11" s="665">
        <f>[5]IEPSGASINCREMENTO!M14+'[5]IEPSGAS ESTIMACIONES'!M14</f>
        <v>118299.82343410715</v>
      </c>
      <c r="N11" s="665">
        <f>[5]IEPSGASINCREMENTO!N14+'[5]IEPSGAS ESTIMACIONES'!N14</f>
        <v>111510.98854304329</v>
      </c>
      <c r="O11" s="666">
        <f t="shared" si="0"/>
        <v>1437642.3081459152</v>
      </c>
      <c r="P11" s="667"/>
    </row>
    <row r="12" spans="1:16" ht="12.75" customHeight="1" x14ac:dyDescent="0.2">
      <c r="A12" s="663" t="s">
        <v>155</v>
      </c>
      <c r="B12" s="675"/>
      <c r="C12" s="665">
        <f>[5]IEPSGASINCREMENTO!C15+'[5]IEPSGAS ESTIMACIONES'!C15</f>
        <v>74889.163272332866</v>
      </c>
      <c r="D12" s="665">
        <f>[5]IEPSGASINCREMENTO!D15+'[5]IEPSGAS ESTIMACIONES'!D15</f>
        <v>75448.392320033046</v>
      </c>
      <c r="E12" s="665">
        <f>[5]IEPSGASINCREMENTO!E15+'[5]IEPSGAS ESTIMACIONES'!E15</f>
        <v>72437.15542032673</v>
      </c>
      <c r="F12" s="665">
        <f>[5]IEPSGASINCREMENTO!F15+'[5]IEPSGAS ESTIMACIONES'!F15</f>
        <v>77651.207191460606</v>
      </c>
      <c r="G12" s="665">
        <f>[5]IEPSGASINCREMENTO!G15+'[5]IEPSGAS ESTIMACIONES'!G15</f>
        <v>76412.216667871238</v>
      </c>
      <c r="H12" s="665">
        <f>[5]IEPSGASINCREMENTO!H15+'[5]IEPSGAS ESTIMACIONES'!H15</f>
        <v>79053.102714693508</v>
      </c>
      <c r="I12" s="665">
        <f>[5]IEPSGASINCREMENTO!I15+'[5]IEPSGAS ESTIMACIONES'!I15</f>
        <v>75688.362686004708</v>
      </c>
      <c r="J12" s="665">
        <f>[5]IEPSGASINCREMENTO!J15+'[5]IEPSGAS ESTIMACIONES'!J15</f>
        <v>76871.443816500483</v>
      </c>
      <c r="K12" s="665">
        <f>[5]IEPSGASINCREMENTO!K15+'[5]IEPSGAS ESTIMACIONES'!K15</f>
        <v>75006.940718951941</v>
      </c>
      <c r="L12" s="665">
        <f>[5]IEPSGASINCREMENTO!L15+'[5]IEPSGAS ESTIMACIONES'!L15</f>
        <v>72256.958839315426</v>
      </c>
      <c r="M12" s="665">
        <f>[5]IEPSGASINCREMENTO!M15+'[5]IEPSGAS ESTIMACIONES'!M15</f>
        <v>73998.851071968063</v>
      </c>
      <c r="N12" s="665">
        <f>[5]IEPSGASINCREMENTO!N15+'[5]IEPSGAS ESTIMACIONES'!N15</f>
        <v>69901.574349317292</v>
      </c>
      <c r="O12" s="666">
        <f t="shared" si="0"/>
        <v>899615.36906877602</v>
      </c>
      <c r="P12" s="667"/>
    </row>
    <row r="13" spans="1:16" ht="12.75" customHeight="1" x14ac:dyDescent="0.2">
      <c r="A13" s="663" t="s">
        <v>156</v>
      </c>
      <c r="B13" s="675"/>
      <c r="C13" s="665">
        <f>[5]IEPSGASINCREMENTO!C16+'[5]IEPSGAS ESTIMACIONES'!C16</f>
        <v>56745.24320938866</v>
      </c>
      <c r="D13" s="665">
        <f>[5]IEPSGASINCREMENTO!D16+'[5]IEPSGAS ESTIMACIONES'!D16</f>
        <v>57170.212089921333</v>
      </c>
      <c r="E13" s="665">
        <f>[5]IEPSGASINCREMENTO!E16+'[5]IEPSGAS ESTIMACIONES'!E16</f>
        <v>54719.546446642889</v>
      </c>
      <c r="F13" s="665">
        <f>[5]IEPSGASINCREMENTO!F16+'[5]IEPSGAS ESTIMACIONES'!F16</f>
        <v>58780.91836396898</v>
      </c>
      <c r="G13" s="665">
        <f>[5]IEPSGASINCREMENTO!G16+'[5]IEPSGAS ESTIMACIONES'!G16</f>
        <v>57755.962941433645</v>
      </c>
      <c r="H13" s="665">
        <f>[5]IEPSGASINCREMENTO!H16+'[5]IEPSGAS ESTIMACIONES'!H16</f>
        <v>59834.450419482164</v>
      </c>
      <c r="I13" s="665">
        <f>[5]IEPSGASINCREMENTO!I16+'[5]IEPSGAS ESTIMACIONES'!I16</f>
        <v>57202.740841031067</v>
      </c>
      <c r="J13" s="665">
        <f>[5]IEPSGASINCREMENTO!J16+'[5]IEPSGAS ESTIMACIONES'!J16</f>
        <v>58122.447829746132</v>
      </c>
      <c r="K13" s="665">
        <f>[5]IEPSGASINCREMENTO!K16+'[5]IEPSGAS ESTIMACIONES'!K16</f>
        <v>56736.657569553645</v>
      </c>
      <c r="L13" s="665">
        <f>[5]IEPSGASINCREMENTO!L16+'[5]IEPSGAS ESTIMACIONES'!L16</f>
        <v>54562.445284829759</v>
      </c>
      <c r="M13" s="665">
        <f>[5]IEPSGASINCREMENTO!M16+'[5]IEPSGAS ESTIMACIONES'!M16</f>
        <v>55945.357697587664</v>
      </c>
      <c r="N13" s="665">
        <f>[5]IEPSGASINCREMENTO!N16+'[5]IEPSGAS ESTIMACIONES'!N16</f>
        <v>53070.267788921046</v>
      </c>
      <c r="O13" s="666">
        <f t="shared" si="0"/>
        <v>680646.25048250693</v>
      </c>
      <c r="P13" s="667"/>
    </row>
    <row r="14" spans="1:16" ht="12.75" customHeight="1" x14ac:dyDescent="0.2">
      <c r="A14" s="663" t="s">
        <v>157</v>
      </c>
      <c r="B14" s="675"/>
      <c r="C14" s="665">
        <f>[5]IEPSGASINCREMENTO!C17+'[5]IEPSGAS ESTIMACIONES'!C17</f>
        <v>145752.82676427998</v>
      </c>
      <c r="D14" s="665">
        <f>[5]IEPSGASINCREMENTO!D17+'[5]IEPSGAS ESTIMACIONES'!D17</f>
        <v>146829.48754779249</v>
      </c>
      <c r="E14" s="665">
        <f>[5]IEPSGASINCREMENTO!E17+'[5]IEPSGAS ESTIMACIONES'!E17</f>
        <v>142583.79936821543</v>
      </c>
      <c r="F14" s="665">
        <f>[5]IEPSGASINCREMENTO!F17+'[5]IEPSGAS ESTIMACIONES'!F17</f>
        <v>151674.99034096661</v>
      </c>
      <c r="G14" s="665">
        <f>[5]IEPSGASINCREMENTO!G17+'[5]IEPSGAS ESTIMACIONES'!G17</f>
        <v>150086.86477377423</v>
      </c>
      <c r="H14" s="665">
        <f>[5]IEPSGASINCREMENTO!H17+'[5]IEPSGAS ESTIMACIONES'!H17</f>
        <v>154486.72681937757</v>
      </c>
      <c r="I14" s="665">
        <f>[5]IEPSGASINCREMENTO!I17+'[5]IEPSGAS ESTIMACIONES'!I17</f>
        <v>148723.37722110859</v>
      </c>
      <c r="J14" s="665">
        <f>[5]IEPSGASINCREMENTO!J17+'[5]IEPSGAS ESTIMACIONES'!J17</f>
        <v>150803.66297348967</v>
      </c>
      <c r="K14" s="665">
        <f>[5]IEPSGASINCREMENTO!K17+'[5]IEPSGAS ESTIMACIONES'!K17</f>
        <v>146916.97362572429</v>
      </c>
      <c r="L14" s="665">
        <f>[5]IEPSGASINCREMENTO!L17+'[5]IEPSGAS ESTIMACIONES'!L17</f>
        <v>142429.59919506795</v>
      </c>
      <c r="M14" s="665">
        <f>[5]IEPSGASINCREMENTO!M17+'[5]IEPSGAS ESTIMACIONES'!M17</f>
        <v>145217.28792884928</v>
      </c>
      <c r="N14" s="665">
        <f>[5]IEPSGASINCREMENTO!N17+'[5]IEPSGAS ESTIMACIONES'!N17</f>
        <v>135049.59051396593</v>
      </c>
      <c r="O14" s="666">
        <f t="shared" si="0"/>
        <v>1760555.1870726119</v>
      </c>
      <c r="P14" s="667"/>
    </row>
    <row r="15" spans="1:16" ht="12.75" customHeight="1" x14ac:dyDescent="0.2">
      <c r="A15" s="663" t="s">
        <v>158</v>
      </c>
      <c r="B15" s="675"/>
      <c r="C15" s="665">
        <f>[5]IEPSGASINCREMENTO!C18+'[5]IEPSGAS ESTIMACIONES'!C18</f>
        <v>98523.675122028711</v>
      </c>
      <c r="D15" s="665">
        <f>[5]IEPSGASINCREMENTO!D18+'[5]IEPSGAS ESTIMACIONES'!D18</f>
        <v>99260.947188703372</v>
      </c>
      <c r="E15" s="665">
        <f>[5]IEPSGASINCREMENTO!E18+'[5]IEPSGAS ESTIMACIONES'!E18</f>
        <v>95085.552011219406</v>
      </c>
      <c r="F15" s="665">
        <f>[5]IEPSGASINCREMENTO!F18+'[5]IEPSGAS ESTIMACIONES'!F18</f>
        <v>102085.03345488779</v>
      </c>
      <c r="G15" s="665">
        <f>[5]IEPSGASINCREMENTO!G18+'[5]IEPSGAS ESTIMACIONES'!G18</f>
        <v>100346.01838283156</v>
      </c>
      <c r="H15" s="665">
        <f>[5]IEPSGASINCREMENTO!H18+'[5]IEPSGAS ESTIMACIONES'!H18</f>
        <v>103918.32776493867</v>
      </c>
      <c r="I15" s="665">
        <f>[5]IEPSGASINCREMENTO!I18+'[5]IEPSGAS ESTIMACIONES'!I18</f>
        <v>99387.721322026831</v>
      </c>
      <c r="J15" s="665">
        <f>[5]IEPSGASINCREMENTO!J18+'[5]IEPSGAS ESTIMACIONES'!J18</f>
        <v>100973.60732078303</v>
      </c>
      <c r="K15" s="665">
        <f>[5]IEPSGASINCREMENTO!K18+'[5]IEPSGAS ESTIMACIONES'!K18</f>
        <v>98554.828998593046</v>
      </c>
      <c r="L15" s="665">
        <f>[5]IEPSGASINCREMENTO!L18+'[5]IEPSGAS ESTIMACIONES'!L18</f>
        <v>94822.467087724421</v>
      </c>
      <c r="M15" s="665">
        <f>[5]IEPSGASINCREMENTO!M18+'[5]IEPSGAS ESTIMACIONES'!M18</f>
        <v>97193.861105965989</v>
      </c>
      <c r="N15" s="665">
        <f>[5]IEPSGASINCREMENTO!N18+'[5]IEPSGAS ESTIMACIONES'!N18</f>
        <v>92093.938085297297</v>
      </c>
      <c r="O15" s="666">
        <f t="shared" si="0"/>
        <v>1182245.9778450001</v>
      </c>
      <c r="P15" s="667"/>
    </row>
    <row r="16" spans="1:16" ht="12.75" customHeight="1" x14ac:dyDescent="0.2">
      <c r="A16" s="663" t="s">
        <v>159</v>
      </c>
      <c r="B16" s="675"/>
      <c r="C16" s="665">
        <f>[5]IEPSGASINCREMENTO!C19+'[5]IEPSGAS ESTIMACIONES'!C19</f>
        <v>175769.49091383175</v>
      </c>
      <c r="D16" s="665">
        <f>[5]IEPSGASINCREMENTO!D19+'[5]IEPSGAS ESTIMACIONES'!D19</f>
        <v>177083.96048798432</v>
      </c>
      <c r="E16" s="665">
        <f>[5]IEPSGASINCREMENTO!E19+'[5]IEPSGAS ESTIMACIONES'!E19</f>
        <v>169751.61420175934</v>
      </c>
      <c r="F16" s="665">
        <f>[5]IEPSGASINCREMENTO!F19+'[5]IEPSGAS ESTIMACIONES'!F19</f>
        <v>182162.56580597573</v>
      </c>
      <c r="G16" s="665">
        <f>[5]IEPSGASINCREMENTO!G19+'[5]IEPSGAS ESTIMACIONES'!G19</f>
        <v>179119.59513485848</v>
      </c>
      <c r="H16" s="665">
        <f>[5]IEPSGASINCREMENTO!H19+'[5]IEPSGAS ESTIMACIONES'!H19</f>
        <v>185439.24287550888</v>
      </c>
      <c r="I16" s="665">
        <f>[5]IEPSGASINCREMENTO!I19+'[5]IEPSGAS ESTIMACIONES'!I19</f>
        <v>177413.23577857245</v>
      </c>
      <c r="J16" s="665">
        <f>[5]IEPSGASINCREMENTO!J19+'[5]IEPSGAS ESTIMACIONES'!J19</f>
        <v>180226.44633056334</v>
      </c>
      <c r="K16" s="665">
        <f>[5]IEPSGASINCREMENTO!K19+'[5]IEPSGAS ESTIMACIONES'!K19</f>
        <v>175892.62930066464</v>
      </c>
      <c r="L16" s="665">
        <f>[5]IEPSGASINCREMENTO!L19+'[5]IEPSGAS ESTIMACIONES'!L19</f>
        <v>169296.46187523025</v>
      </c>
      <c r="M16" s="665">
        <f>[5]IEPSGASINCREMENTO!M19+'[5]IEPSGAS ESTIMACIONES'!M19</f>
        <v>173483.57222442765</v>
      </c>
      <c r="N16" s="665">
        <f>[5]IEPSGASINCREMENTO!N19+'[5]IEPSGAS ESTIMACIONES'!N19</f>
        <v>164226.64407634322</v>
      </c>
      <c r="O16" s="666">
        <f t="shared" si="0"/>
        <v>2109865.4590057204</v>
      </c>
      <c r="P16" s="667"/>
    </row>
    <row r="17" spans="1:17" ht="12.75" customHeight="1" x14ac:dyDescent="0.2">
      <c r="A17" s="663" t="s">
        <v>287</v>
      </c>
      <c r="B17" s="675"/>
      <c r="C17" s="665">
        <f>[5]IEPSGASINCREMENTO!C20+'[5]IEPSGAS ESTIMACIONES'!C20</f>
        <v>32244.572900163199</v>
      </c>
      <c r="D17" s="665">
        <f>[5]IEPSGASINCREMENTO!D20+'[5]IEPSGAS ESTIMACIONES'!D20</f>
        <v>32482.755758432409</v>
      </c>
      <c r="E17" s="665">
        <f>[5]IEPSGASINCREMENTO!E20+'[5]IEPSGAS ESTIMACIONES'!E20</f>
        <v>31544.097903691505</v>
      </c>
      <c r="F17" s="665">
        <f>[5]IEPSGASINCREMENTO!F20+'[5]IEPSGAS ESTIMACIONES'!F20</f>
        <v>33554.925127905692</v>
      </c>
      <c r="G17" s="665">
        <f>[5]IEPSGASINCREMENTO!G20+'[5]IEPSGAS ESTIMACIONES'!G20</f>
        <v>33203.896716739029</v>
      </c>
      <c r="H17" s="665">
        <f>[5]IEPSGASINCREMENTO!H20+'[5]IEPSGAS ESTIMACIONES'!H20</f>
        <v>34176.990593056005</v>
      </c>
      <c r="I17" s="665">
        <f>[5]IEPSGASINCREMENTO!I20+'[5]IEPSGAS ESTIMACIONES'!I20</f>
        <v>32902.272416213636</v>
      </c>
      <c r="J17" s="665">
        <f>[5]IEPSGASINCREMENTO!J20+'[5]IEPSGAS ESTIMACIONES'!J20</f>
        <v>33362.405945649196</v>
      </c>
      <c r="K17" s="665">
        <f>[5]IEPSGASINCREMENTO!K20+'[5]IEPSGAS ESTIMACIONES'!K20</f>
        <v>32502.465503916759</v>
      </c>
      <c r="L17" s="665">
        <f>[5]IEPSGASINCREMENTO!L20+'[5]IEPSGAS ESTIMACIONES'!L20</f>
        <v>31510.058315899114</v>
      </c>
      <c r="M17" s="665">
        <f>[5]IEPSGASINCREMENTO!M20+'[5]IEPSGAS ESTIMACIONES'!M20</f>
        <v>32126.546301778541</v>
      </c>
      <c r="N17" s="665">
        <f>[5]IEPSGASINCREMENTO!N20+'[5]IEPSGAS ESTIMACIONES'!N20</f>
        <v>29876.345831047904</v>
      </c>
      <c r="O17" s="666">
        <f t="shared" si="0"/>
        <v>389487.33331449301</v>
      </c>
      <c r="P17" s="667"/>
    </row>
    <row r="18" spans="1:17" ht="12.75" customHeight="1" x14ac:dyDescent="0.2">
      <c r="A18" s="663" t="s">
        <v>288</v>
      </c>
      <c r="B18" s="675"/>
      <c r="C18" s="665">
        <f>[5]IEPSGASINCREMENTO!C21+'[5]IEPSGAS ESTIMACIONES'!C21</f>
        <v>98925.538994396033</v>
      </c>
      <c r="D18" s="665">
        <f>[5]IEPSGASINCREMENTO!D21+'[5]IEPSGAS ESTIMACIONES'!D21</f>
        <v>99658.720048617077</v>
      </c>
      <c r="E18" s="665">
        <f>[5]IEPSGASINCREMENTO!E21+'[5]IEPSGAS ESTIMACIONES'!E21</f>
        <v>96442.941674501766</v>
      </c>
      <c r="F18" s="665">
        <f>[5]IEPSGASINCREMENTO!F21+'[5]IEPSGAS ESTIMACIONES'!F21</f>
        <v>102831.95332735998</v>
      </c>
      <c r="G18" s="665">
        <f>[5]IEPSGASINCREMENTO!G21+'[5]IEPSGAS ESTIMACIONES'!G21</f>
        <v>101583.72092546223</v>
      </c>
      <c r="H18" s="665">
        <f>[5]IEPSGASINCREMENTO!H21+'[5]IEPSGAS ESTIMACIONES'!H21</f>
        <v>104723.10295359092</v>
      </c>
      <c r="I18" s="665">
        <f>[5]IEPSGASINCREMENTO!I21+'[5]IEPSGAS ESTIMACIONES'!I21</f>
        <v>100648.91773019769</v>
      </c>
      <c r="J18" s="665">
        <f>[5]IEPSGASINCREMENTO!J21+'[5]IEPSGAS ESTIMACIONES'!J21</f>
        <v>102106.84377843895</v>
      </c>
      <c r="K18" s="665">
        <f>[5]IEPSGASINCREMENTO!K21+'[5]IEPSGAS ESTIMACIONES'!K21</f>
        <v>99522.227708551873</v>
      </c>
      <c r="L18" s="665">
        <f>[5]IEPSGASINCREMENTO!L21+'[5]IEPSGAS ESTIMACIONES'!L21</f>
        <v>96297.623998612922</v>
      </c>
      <c r="M18" s="665">
        <f>[5]IEPSGASINCREMENTO!M21+'[5]IEPSGAS ESTIMACIONES'!M21</f>
        <v>98314.341869316195</v>
      </c>
      <c r="N18" s="665">
        <f>[5]IEPSGASINCREMENTO!N21+'[5]IEPSGAS ESTIMACIONES'!N21</f>
        <v>91867.137136711375</v>
      </c>
      <c r="O18" s="666">
        <f t="shared" si="0"/>
        <v>1192923.0701457569</v>
      </c>
      <c r="P18" s="667"/>
    </row>
    <row r="19" spans="1:17" ht="12.75" customHeight="1" x14ac:dyDescent="0.2">
      <c r="A19" s="663" t="s">
        <v>289</v>
      </c>
      <c r="B19" s="675"/>
      <c r="C19" s="665">
        <f>[5]IEPSGASINCREMENTO!C22+'[5]IEPSGAS ESTIMACIONES'!C22</f>
        <v>393755.89238314558</v>
      </c>
      <c r="D19" s="665">
        <f>[5]IEPSGASINCREMENTO!D22+'[5]IEPSGAS ESTIMACIONES'!D22</f>
        <v>396696.90504874708</v>
      </c>
      <c r="E19" s="665">
        <f>[5]IEPSGASINCREMENTO!E22+'[5]IEPSGAS ESTIMACIONES'!E22</f>
        <v>380771.96433006652</v>
      </c>
      <c r="F19" s="665">
        <f>[5]IEPSGASINCREMENTO!F22+'[5]IEPSGAS ESTIMACIONES'!F22</f>
        <v>408247.05988672789</v>
      </c>
      <c r="G19" s="665">
        <f>[5]IEPSGASINCREMENTO!G22+'[5]IEPSGAS ESTIMACIONES'!G22</f>
        <v>401685.57597452489</v>
      </c>
      <c r="H19" s="665">
        <f>[5]IEPSGASINCREMENTO!H22+'[5]IEPSGAS ESTIMACIONES'!H22</f>
        <v>415613.25280932849</v>
      </c>
      <c r="I19" s="665">
        <f>[5]IEPSGASINCREMENTO!I22+'[5]IEPSGAS ESTIMACIONES'!I22</f>
        <v>397877.0711397655</v>
      </c>
      <c r="J19" s="665">
        <f>[5]IEPSGASINCREMENTO!J22+'[5]IEPSGAS ESTIMACIONES'!J22</f>
        <v>404110.23893257522</v>
      </c>
      <c r="K19" s="665">
        <f>[5]IEPSGASINCREMENTO!K22+'[5]IEPSGAS ESTIMACIONES'!K22</f>
        <v>394321.70612110081</v>
      </c>
      <c r="L19" s="665">
        <f>[5]IEPSGASINCREMENTO!L22+'[5]IEPSGAS ESTIMACIONES'!L22</f>
        <v>379813.28519331524</v>
      </c>
      <c r="M19" s="665">
        <f>[5]IEPSGASINCREMENTO!M22+'[5]IEPSGAS ESTIMACIONES'!M22</f>
        <v>389006.32925429335</v>
      </c>
      <c r="N19" s="665">
        <f>[5]IEPSGASINCREMENTO!N22+'[5]IEPSGAS ESTIMACIONES'!N22</f>
        <v>367588.84670672065</v>
      </c>
      <c r="O19" s="666">
        <f t="shared" si="0"/>
        <v>4729488.1277803117</v>
      </c>
      <c r="P19" s="667"/>
    </row>
    <row r="20" spans="1:17" ht="12.75" customHeight="1" x14ac:dyDescent="0.2">
      <c r="A20" s="663" t="s">
        <v>163</v>
      </c>
      <c r="B20" s="675"/>
      <c r="C20" s="665">
        <f>[5]IEPSGASINCREMENTO!C23+'[5]IEPSGAS ESTIMACIONES'!C23</f>
        <v>169225.698249257</v>
      </c>
      <c r="D20" s="665">
        <f>[5]IEPSGASINCREMENTO!D23+'[5]IEPSGAS ESTIMACIONES'!D23</f>
        <v>170477.60653589905</v>
      </c>
      <c r="E20" s="665">
        <f>[5]IEPSGASINCREMENTO!E23+'[5]IEPSGAS ESTIMACIONES'!E23</f>
        <v>165292.81853737676</v>
      </c>
      <c r="F20" s="665">
        <f>[5]IEPSGASINCREMENTO!F23+'[5]IEPSGAS ESTIMACIONES'!F23</f>
        <v>176015.18223143648</v>
      </c>
      <c r="G20" s="665">
        <f>[5]IEPSGASINCREMENTO!G23+'[5]IEPSGAS ESTIMACIONES'!G23</f>
        <v>174041.12346011598</v>
      </c>
      <c r="H20" s="665">
        <f>[5]IEPSGASINCREMENTO!H23+'[5]IEPSGAS ESTIMACIONES'!H23</f>
        <v>179266.56539447288</v>
      </c>
      <c r="I20" s="665">
        <f>[5]IEPSGASINCREMENTO!I23+'[5]IEPSGAS ESTIMACIONES'!I23</f>
        <v>172450.88748462795</v>
      </c>
      <c r="J20" s="665">
        <f>[5]IEPSGASINCREMENTO!J23+'[5]IEPSGAS ESTIMACIONES'!J23</f>
        <v>174901.341465773</v>
      </c>
      <c r="K20" s="665">
        <f>[5]IEPSGASINCREMENTO!K23+'[5]IEPSGAS ESTIMACIONES'!K23</f>
        <v>170429.49706647469</v>
      </c>
      <c r="L20" s="665">
        <f>[5]IEPSGASINCREMENTO!L23+'[5]IEPSGAS ESTIMACIONES'!L23</f>
        <v>165082.71363244698</v>
      </c>
      <c r="M20" s="665">
        <f>[5]IEPSGASINCREMENTO!M23+'[5]IEPSGAS ESTIMACIONES'!M23</f>
        <v>168414.60870855919</v>
      </c>
      <c r="N20" s="665">
        <f>[5]IEPSGASINCREMENTO!N23+'[5]IEPSGAS ESTIMACIONES'!N23</f>
        <v>156956.26233550004</v>
      </c>
      <c r="O20" s="666">
        <f t="shared" si="0"/>
        <v>2042554.3051019402</v>
      </c>
      <c r="P20" s="667"/>
    </row>
    <row r="21" spans="1:17" ht="12.75" customHeight="1" x14ac:dyDescent="0.2">
      <c r="A21" s="663" t="s">
        <v>164</v>
      </c>
      <c r="B21" s="677"/>
      <c r="C21" s="665">
        <f>[5]IEPSGASINCREMENTO!C24+'[5]IEPSGAS ESTIMACIONES'!C24</f>
        <v>1601666.9082936733</v>
      </c>
      <c r="D21" s="665">
        <f>[5]IEPSGASINCREMENTO!D24+'[5]IEPSGAS ESTIMACIONES'!D24</f>
        <v>1613711.5359917465</v>
      </c>
      <c r="E21" s="665">
        <f>[5]IEPSGASINCREMENTO!E24+'[5]IEPSGAS ESTIMACIONES'!E24</f>
        <v>1537710.3634869189</v>
      </c>
      <c r="F21" s="665">
        <f>[5]IEPSGASINCREMENTO!F24+'[5]IEPSGAS ESTIMACIONES'!F24</f>
        <v>1656813.5953335939</v>
      </c>
      <c r="G21" s="665">
        <f>[5]IEPSGASINCREMENTO!G24+'[5]IEPSGAS ESTIMACIONES'!G24</f>
        <v>1624401.9778432944</v>
      </c>
      <c r="H21" s="665">
        <f>[5]IEPSGASINCREMENTO!H24+'[5]IEPSGAS ESTIMACIONES'!H24</f>
        <v>1686197.8471734927</v>
      </c>
      <c r="I21" s="665">
        <f>[5]IEPSGASINCREMENTO!I24+'[5]IEPSGAS ESTIMACIONES'!I24</f>
        <v>1608595.3404142766</v>
      </c>
      <c r="J21" s="665">
        <f>[5]IEPSGASINCREMENTO!J24+'[5]IEPSGAS ESTIMACIONES'!J24</f>
        <v>1635494.6596498573</v>
      </c>
      <c r="K21" s="665">
        <f>[5]IEPSGASINCREMENTO!K24+'[5]IEPSGAS ESTIMACIONES'!K24</f>
        <v>1597470.6553665572</v>
      </c>
      <c r="L21" s="665">
        <f>[5]IEPSGASINCREMENTO!L24+'[5]IEPSGAS ESTIMACIONES'!L24</f>
        <v>1532445.0384038694</v>
      </c>
      <c r="M21" s="665">
        <f>[5]IEPSGASINCREMENTO!M24+'[5]IEPSGAS ESTIMACIONES'!M24</f>
        <v>1574026.4359983567</v>
      </c>
      <c r="N21" s="665">
        <f>[5]IEPSGASINCREMENTO!N24+'[5]IEPSGAS ESTIMACIONES'!N24</f>
        <v>1502151.5056712769</v>
      </c>
      <c r="O21" s="666">
        <f t="shared" si="0"/>
        <v>19170685.863626912</v>
      </c>
      <c r="P21" s="667"/>
      <c r="Q21" s="667"/>
    </row>
    <row r="22" spans="1:17" ht="12.75" customHeight="1" x14ac:dyDescent="0.2">
      <c r="A22" s="663" t="s">
        <v>165</v>
      </c>
      <c r="B22" s="677"/>
      <c r="C22" s="665">
        <f>[5]IEPSGASINCREMENTO!C25+'[5]IEPSGAS ESTIMACIONES'!C25</f>
        <v>129733.05102227838</v>
      </c>
      <c r="D22" s="665">
        <f>[5]IEPSGASINCREMENTO!D25+'[5]IEPSGAS ESTIMACIONES'!D25</f>
        <v>130693.40099678151</v>
      </c>
      <c r="E22" s="665">
        <f>[5]IEPSGASINCREMENTO!E25+'[5]IEPSGAS ESTIMACIONES'!E25</f>
        <v>126635.65795584465</v>
      </c>
      <c r="F22" s="665">
        <f>[5]IEPSGASINCREMENTO!F25+'[5]IEPSGAS ESTIMACIONES'!F25</f>
        <v>134909.9846963693</v>
      </c>
      <c r="G22" s="665">
        <f>[5]IEPSGASINCREMENTO!G25+'[5]IEPSGAS ESTIMACIONES'!G25</f>
        <v>133354.33466609681</v>
      </c>
      <c r="H22" s="665">
        <f>[5]IEPSGASINCREMENTO!H25+'[5]IEPSGAS ESTIMACIONES'!H25</f>
        <v>137398.30564011377</v>
      </c>
      <c r="I22" s="665">
        <f>[5]IEPSGASINCREMENTO!I25+'[5]IEPSGAS ESTIMACIONES'!I25</f>
        <v>132132.88905921826</v>
      </c>
      <c r="J22" s="665">
        <f>[5]IEPSGASINCREMENTO!J25+'[5]IEPSGAS ESTIMACIONES'!J25</f>
        <v>134022.89060229436</v>
      </c>
      <c r="K22" s="665">
        <f>[5]IEPSGASINCREMENTO!K25+'[5]IEPSGAS ESTIMACIONES'!K25</f>
        <v>130607.89837134602</v>
      </c>
      <c r="L22" s="665">
        <f>[5]IEPSGASINCREMENTO!L25+'[5]IEPSGAS ESTIMACIONES'!L25</f>
        <v>126464.49316368713</v>
      </c>
      <c r="M22" s="665">
        <f>[5]IEPSGASINCREMENTO!M25+'[5]IEPSGAS ESTIMACIONES'!M25</f>
        <v>129049.75774845442</v>
      </c>
      <c r="N22" s="665">
        <f>[5]IEPSGASINCREMENTO!N25+'[5]IEPSGAS ESTIMACIONES'!N25</f>
        <v>120378.12836981633</v>
      </c>
      <c r="O22" s="666">
        <f t="shared" si="0"/>
        <v>1565380.7922923011</v>
      </c>
      <c r="P22" s="667"/>
      <c r="Q22" s="667"/>
    </row>
    <row r="23" spans="1:17" ht="12.75" customHeight="1" thickBot="1" x14ac:dyDescent="0.25">
      <c r="A23" s="663" t="s">
        <v>166</v>
      </c>
      <c r="B23" s="676"/>
      <c r="C23" s="665">
        <f>[5]IEPSGASINCREMENTO!C26+'[5]IEPSGAS ESTIMACIONES'!C26</f>
        <v>210541.61277504975</v>
      </c>
      <c r="D23" s="665">
        <f>[5]IEPSGASINCREMENTO!D26+'[5]IEPSGAS ESTIMACIONES'!D26</f>
        <v>212140.72881083639</v>
      </c>
      <c r="E23" s="665">
        <f>[5]IEPSGASINCREMENTO!E26+'[5]IEPSGAS ESTIMACIONES'!E26</f>
        <v>199972.07473718171</v>
      </c>
      <c r="F23" s="665">
        <f>[5]IEPSGASINCREMENTO!F26+'[5]IEPSGAS ESTIMACIONES'!F26</f>
        <v>217053.56243615621</v>
      </c>
      <c r="G23" s="665">
        <f>[5]IEPSGASINCREMENTO!G26+'[5]IEPSGAS ESTIMACIONES'!G26</f>
        <v>211682.61048789503</v>
      </c>
      <c r="H23" s="665">
        <f>[5]IEPSGASINCREMENTO!H26+'[5]IEPSGAS ESTIMACIONES'!H26</f>
        <v>220803.81290880707</v>
      </c>
      <c r="I23" s="665">
        <f>[5]IEPSGASINCREMENTO!I26+'[5]IEPSGAS ESTIMACIONES'!I26</f>
        <v>209543.68828706257</v>
      </c>
      <c r="J23" s="665">
        <f>[5]IEPSGASINCREMENTO!J26+'[5]IEPSGAS ESTIMACIONES'!J26</f>
        <v>213379.4568178448</v>
      </c>
      <c r="K23" s="665">
        <f>[5]IEPSGASINCREMENTO!K26+'[5]IEPSGAS ESTIMACIONES'!K26</f>
        <v>208729.00056958129</v>
      </c>
      <c r="L23" s="665">
        <f>[5]IEPSGASINCREMENTO!L26+'[5]IEPSGAS ESTIMACIONES'!L26</f>
        <v>199014.89430526807</v>
      </c>
      <c r="M23" s="665">
        <f>[5]IEPSGASINCREMENTO!M26+'[5]IEPSGAS ESTIMACIONES'!M26</f>
        <v>205293.42746177263</v>
      </c>
      <c r="N23" s="665">
        <f>[5]IEPSGASINCREMENTO!N26+'[5]IEPSGAS ESTIMACIONES'!N26</f>
        <v>198803.75519895245</v>
      </c>
      <c r="O23" s="666">
        <f t="shared" si="0"/>
        <v>2506958.6247964082</v>
      </c>
      <c r="P23" s="667"/>
    </row>
    <row r="24" spans="1:17" ht="13.5" thickBot="1" x14ac:dyDescent="0.25">
      <c r="A24" s="668" t="s">
        <v>290</v>
      </c>
      <c r="B24" s="669">
        <f t="shared" ref="B24:O24" si="1">SUM(B4:B23)</f>
        <v>0</v>
      </c>
      <c r="C24" s="670">
        <f t="shared" si="1"/>
        <v>4539603.375</v>
      </c>
      <c r="D24" s="670">
        <f t="shared" si="1"/>
        <v>4573786.95</v>
      </c>
      <c r="E24" s="670">
        <f t="shared" si="1"/>
        <v>4352117.1749999998</v>
      </c>
      <c r="F24" s="670">
        <f t="shared" si="1"/>
        <v>4693787.0999999996</v>
      </c>
      <c r="G24" s="670">
        <f t="shared" si="1"/>
        <v>4598731.8000000007</v>
      </c>
      <c r="H24" s="670">
        <f t="shared" si="1"/>
        <v>4776747.9749999996</v>
      </c>
      <c r="I24" s="670">
        <f t="shared" si="1"/>
        <v>4553755.4249999998</v>
      </c>
      <c r="J24" s="670">
        <f t="shared" si="1"/>
        <v>4630857.75</v>
      </c>
      <c r="K24" s="670">
        <f t="shared" si="1"/>
        <v>4524086.0249999994</v>
      </c>
      <c r="L24" s="670">
        <f t="shared" si="1"/>
        <v>4336431.9750000015</v>
      </c>
      <c r="M24" s="670">
        <f t="shared" si="1"/>
        <v>4456621.3499999996</v>
      </c>
      <c r="N24" s="670">
        <f t="shared" si="1"/>
        <v>4261408.2</v>
      </c>
      <c r="O24" s="670">
        <f t="shared" si="1"/>
        <v>54297935.100000001</v>
      </c>
    </row>
    <row r="25" spans="1:17" x14ac:dyDescent="0.2">
      <c r="A25" s="671"/>
      <c r="B25" s="671"/>
      <c r="C25" s="671"/>
      <c r="D25" s="671"/>
      <c r="E25" s="671"/>
      <c r="F25" s="671"/>
      <c r="G25" s="671"/>
      <c r="H25" s="671"/>
      <c r="I25" s="671"/>
      <c r="J25" s="671"/>
      <c r="K25" s="671"/>
      <c r="L25" s="671"/>
      <c r="M25" s="671"/>
      <c r="N25" s="671"/>
      <c r="O25" s="678"/>
    </row>
    <row r="26" spans="1:17" x14ac:dyDescent="0.2">
      <c r="A26" s="672" t="s">
        <v>291</v>
      </c>
    </row>
  </sheetData>
  <mergeCells count="1">
    <mergeCell ref="A1:O1"/>
  </mergeCells>
  <printOptions horizontalCentered="1"/>
  <pageMargins left="0.70866141732283472" right="0.47244094488188981" top="0.98425196850393704" bottom="0.98425196850393704" header="0" footer="0"/>
  <pageSetup paperSize="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pageSetUpPr fitToPage="1"/>
  </sheetPr>
  <dimension ref="B1:AH66"/>
  <sheetViews>
    <sheetView zoomScale="80" zoomScaleNormal="80" workbookViewId="0">
      <selection activeCell="B2" sqref="B2:Q2"/>
    </sheetView>
  </sheetViews>
  <sheetFormatPr baseColWidth="10" defaultRowHeight="15" x14ac:dyDescent="0.25"/>
  <cols>
    <col min="1" max="1" width="3.7109375" customWidth="1"/>
    <col min="2" max="2" width="3.5703125" style="104" customWidth="1"/>
    <col min="3" max="3" width="26.42578125" customWidth="1"/>
    <col min="4" max="4" width="15.42578125" style="42" customWidth="1"/>
    <col min="5" max="5" width="13.85546875" customWidth="1"/>
    <col min="6" max="6" width="16.5703125" bestFit="1" customWidth="1"/>
    <col min="7" max="7" width="15.28515625" bestFit="1" customWidth="1"/>
    <col min="8" max="8" width="16.5703125" style="5" bestFit="1" customWidth="1"/>
    <col min="9" max="9" width="16.5703125" customWidth="1"/>
    <col min="10" max="10" width="16.140625" customWidth="1"/>
    <col min="11" max="12" width="18.140625" style="5" customWidth="1"/>
    <col min="13" max="13" width="15.5703125" customWidth="1"/>
    <col min="14" max="14" width="13" bestFit="1" customWidth="1"/>
    <col min="15" max="15" width="18.140625" style="5" customWidth="1"/>
    <col min="16" max="16" width="20" hidden="1" customWidth="1"/>
    <col min="17" max="17" width="17.7109375" customWidth="1"/>
    <col min="18" max="18" width="11.42578125" hidden="1" customWidth="1"/>
    <col min="19" max="19" width="16.28515625" hidden="1" customWidth="1"/>
    <col min="20" max="20" width="14.5703125" hidden="1" customWidth="1"/>
    <col min="21" max="21" width="14.28515625" hidden="1" customWidth="1"/>
    <col min="22" max="22" width="18" hidden="1" customWidth="1"/>
    <col min="23" max="30" width="11.42578125" hidden="1" customWidth="1"/>
    <col min="31" max="35" width="0" hidden="1" customWidth="1"/>
  </cols>
  <sheetData>
    <row r="1" spans="2:34" ht="18" x14ac:dyDescent="0.25">
      <c r="B1" s="906"/>
      <c r="C1" s="906"/>
      <c r="D1" s="906"/>
      <c r="E1" s="906"/>
      <c r="F1" s="906"/>
      <c r="G1" s="906"/>
      <c r="H1" s="906"/>
      <c r="I1" s="906"/>
      <c r="J1" s="906"/>
      <c r="K1" s="906"/>
      <c r="L1" s="906"/>
      <c r="M1" s="906"/>
      <c r="N1" s="906"/>
      <c r="O1" s="906"/>
      <c r="P1" s="906"/>
      <c r="Q1" s="906"/>
    </row>
    <row r="2" spans="2:34" x14ac:dyDescent="0.25">
      <c r="B2" s="905" t="s">
        <v>400</v>
      </c>
      <c r="C2" s="905"/>
      <c r="D2" s="905"/>
      <c r="E2" s="905"/>
      <c r="F2" s="905"/>
      <c r="G2" s="905"/>
      <c r="H2" s="905"/>
      <c r="I2" s="905"/>
      <c r="J2" s="905"/>
      <c r="K2" s="905"/>
      <c r="L2" s="905"/>
      <c r="M2" s="905"/>
      <c r="N2" s="905"/>
      <c r="O2" s="905"/>
      <c r="P2" s="905"/>
      <c r="Q2" s="905"/>
    </row>
    <row r="3" spans="2:34" ht="15.75" thickBot="1" x14ac:dyDescent="0.3">
      <c r="C3" s="380"/>
      <c r="D3" s="380"/>
      <c r="E3" s="380"/>
      <c r="F3" s="380"/>
      <c r="G3" s="380"/>
      <c r="H3" s="380"/>
      <c r="I3" s="380"/>
      <c r="J3" s="380"/>
      <c r="K3" s="380"/>
      <c r="L3" s="380"/>
      <c r="M3" s="380"/>
      <c r="N3" s="380"/>
      <c r="O3" s="380"/>
      <c r="P3" s="380"/>
    </row>
    <row r="4" spans="2:34" ht="15" customHeight="1" x14ac:dyDescent="0.25">
      <c r="B4" s="907" t="s">
        <v>82</v>
      </c>
      <c r="C4" s="927" t="s">
        <v>84</v>
      </c>
      <c r="D4" s="930">
        <v>2014</v>
      </c>
      <c r="E4" s="931"/>
      <c r="F4" s="930" t="s">
        <v>140</v>
      </c>
      <c r="G4" s="932"/>
      <c r="H4" s="931"/>
      <c r="I4" s="930" t="s">
        <v>141</v>
      </c>
      <c r="J4" s="932"/>
      <c r="K4" s="932"/>
      <c r="L4" s="931"/>
      <c r="M4" s="930" t="s">
        <v>30</v>
      </c>
      <c r="N4" s="932"/>
      <c r="O4" s="931"/>
      <c r="P4" s="107"/>
      <c r="Q4" s="910" t="s">
        <v>399</v>
      </c>
    </row>
    <row r="5" spans="2:34" ht="15" customHeight="1" x14ac:dyDescent="0.25">
      <c r="B5" s="908"/>
      <c r="C5" s="928"/>
      <c r="D5" s="933" t="s">
        <v>294</v>
      </c>
      <c r="E5" s="936" t="s">
        <v>295</v>
      </c>
      <c r="F5" s="489" t="s">
        <v>39</v>
      </c>
      <c r="G5" s="139" t="s">
        <v>145</v>
      </c>
      <c r="H5" s="494" t="s">
        <v>90</v>
      </c>
      <c r="I5" s="920" t="s">
        <v>87</v>
      </c>
      <c r="J5" s="921"/>
      <c r="K5" s="496" t="s">
        <v>209</v>
      </c>
      <c r="L5" s="917" t="s">
        <v>307</v>
      </c>
      <c r="M5" s="920" t="s">
        <v>262</v>
      </c>
      <c r="N5" s="921"/>
      <c r="O5" s="499" t="s">
        <v>88</v>
      </c>
      <c r="P5" s="108" t="s">
        <v>89</v>
      </c>
      <c r="Q5" s="911"/>
    </row>
    <row r="6" spans="2:34" x14ac:dyDescent="0.25">
      <c r="B6" s="908"/>
      <c r="C6" s="928"/>
      <c r="D6" s="934"/>
      <c r="E6" s="937"/>
      <c r="F6" s="489" t="s">
        <v>91</v>
      </c>
      <c r="G6" s="139"/>
      <c r="H6" s="490" t="s">
        <v>207</v>
      </c>
      <c r="I6" s="913">
        <v>2019</v>
      </c>
      <c r="J6" s="914"/>
      <c r="K6" s="419" t="s">
        <v>208</v>
      </c>
      <c r="L6" s="918"/>
      <c r="M6" s="915">
        <v>2019</v>
      </c>
      <c r="N6" s="916"/>
      <c r="O6" s="483" t="s">
        <v>263</v>
      </c>
      <c r="P6" s="109" t="s">
        <v>93</v>
      </c>
      <c r="Q6" s="911"/>
    </row>
    <row r="7" spans="2:34" x14ac:dyDescent="0.25">
      <c r="B7" s="908"/>
      <c r="C7" s="928"/>
      <c r="D7" s="935"/>
      <c r="E7" s="938"/>
      <c r="F7" s="491" t="s">
        <v>206</v>
      </c>
      <c r="G7" s="492" t="s">
        <v>92</v>
      </c>
      <c r="H7" s="493" t="s">
        <v>94</v>
      </c>
      <c r="I7" s="491" t="s">
        <v>95</v>
      </c>
      <c r="J7" s="495" t="s">
        <v>86</v>
      </c>
      <c r="K7" s="497" t="s">
        <v>94</v>
      </c>
      <c r="L7" s="919"/>
      <c r="M7" s="500" t="s">
        <v>95</v>
      </c>
      <c r="N7" s="308" t="s">
        <v>86</v>
      </c>
      <c r="O7" s="501" t="s">
        <v>96</v>
      </c>
      <c r="P7" s="111" t="s">
        <v>97</v>
      </c>
      <c r="Q7" s="912"/>
    </row>
    <row r="8" spans="2:34" ht="15.75" thickBot="1" x14ac:dyDescent="0.3">
      <c r="B8" s="909"/>
      <c r="C8" s="929"/>
      <c r="D8" s="112" t="s">
        <v>71</v>
      </c>
      <c r="E8" s="110" t="s">
        <v>98</v>
      </c>
      <c r="F8" s="113" t="s">
        <v>72</v>
      </c>
      <c r="G8" s="114" t="s">
        <v>99</v>
      </c>
      <c r="H8" s="115" t="s">
        <v>100</v>
      </c>
      <c r="I8" s="487" t="s">
        <v>101</v>
      </c>
      <c r="J8" s="488" t="s">
        <v>75</v>
      </c>
      <c r="K8" s="498" t="s">
        <v>102</v>
      </c>
      <c r="L8" s="482" t="s">
        <v>77</v>
      </c>
      <c r="M8" s="487" t="s">
        <v>103</v>
      </c>
      <c r="N8" s="25" t="s">
        <v>79</v>
      </c>
      <c r="O8" s="482" t="s">
        <v>104</v>
      </c>
      <c r="P8" s="116" t="s">
        <v>105</v>
      </c>
      <c r="Q8" s="117" t="s">
        <v>106</v>
      </c>
      <c r="S8" t="s">
        <v>107</v>
      </c>
      <c r="T8" t="s">
        <v>108</v>
      </c>
      <c r="U8" t="s">
        <v>109</v>
      </c>
      <c r="V8" t="s">
        <v>107</v>
      </c>
      <c r="W8" t="s">
        <v>108</v>
      </c>
      <c r="X8" t="s">
        <v>109</v>
      </c>
      <c r="Y8" s="105" t="s">
        <v>110</v>
      </c>
      <c r="Z8" s="105" t="s">
        <v>111</v>
      </c>
      <c r="AA8" s="105" t="s">
        <v>112</v>
      </c>
      <c r="AB8" s="105" t="s">
        <v>111</v>
      </c>
    </row>
    <row r="9" spans="2:34" ht="25.5" customHeight="1" x14ac:dyDescent="0.25">
      <c r="B9" s="514" t="s">
        <v>113</v>
      </c>
      <c r="C9" s="118" t="s">
        <v>46</v>
      </c>
      <c r="D9" s="119">
        <v>3.62</v>
      </c>
      <c r="E9" s="475">
        <v>15655542.292800002</v>
      </c>
      <c r="F9" s="465">
        <f>'CENSO 2020'!C10</f>
        <v>37232</v>
      </c>
      <c r="G9" s="502">
        <f t="shared" ref="G9:G29" si="0">F9/F$29*100</f>
        <v>3.0136241193535018</v>
      </c>
      <c r="H9" s="508">
        <f>((Datos!K$24*0.7)*0.5)*G9%</f>
        <v>960946.43025668245</v>
      </c>
      <c r="I9" s="465">
        <f>'Predial y Agua'!G9</f>
        <v>11337932</v>
      </c>
      <c r="J9" s="502">
        <f>I9/I$29*100</f>
        <v>1.4250484748769019</v>
      </c>
      <c r="K9" s="466">
        <f>((Datos!K$24*0.7)*(0.5))*FFM!J9%</f>
        <v>454401.47498204198</v>
      </c>
      <c r="L9" s="467">
        <f>H9+K9</f>
        <v>1415347.9052387243</v>
      </c>
      <c r="M9" s="465">
        <v>0</v>
      </c>
      <c r="N9" s="502">
        <v>0</v>
      </c>
      <c r="O9" s="503">
        <v>0</v>
      </c>
      <c r="P9" s="122">
        <f>H9+K9+O9</f>
        <v>1415347.9052387243</v>
      </c>
      <c r="Q9" s="120">
        <f>E9+L9+O9</f>
        <v>17070890.198038727</v>
      </c>
      <c r="R9" s="123">
        <f t="shared" ref="R9:R28" si="1">G9+J9</f>
        <v>4.4386725942304039</v>
      </c>
      <c r="S9" s="123">
        <f>R9/2</f>
        <v>2.219336297115202</v>
      </c>
      <c r="T9" s="123">
        <f>2.480738</f>
        <v>2.4807380000000001</v>
      </c>
      <c r="U9" s="124">
        <f>S9-T9</f>
        <v>-0.26140170288479814</v>
      </c>
      <c r="V9" s="123">
        <f>N9</f>
        <v>0</v>
      </c>
      <c r="X9" s="123">
        <f>V9-W9</f>
        <v>0</v>
      </c>
      <c r="Y9" s="105">
        <v>3.3898570000000001</v>
      </c>
      <c r="Z9" s="125">
        <f>S9-Y9</f>
        <v>-1.1705207028847981</v>
      </c>
      <c r="AA9" s="105"/>
      <c r="AB9" s="105"/>
      <c r="AG9" s="123">
        <f>G9+J9</f>
        <v>4.4386725942304039</v>
      </c>
      <c r="AH9" s="123">
        <f>AG9/2</f>
        <v>2.219336297115202</v>
      </c>
    </row>
    <row r="10" spans="2:34" ht="25.5" customHeight="1" x14ac:dyDescent="0.25">
      <c r="B10" s="510" t="s">
        <v>113</v>
      </c>
      <c r="C10" s="118" t="s">
        <v>47</v>
      </c>
      <c r="D10" s="119">
        <v>2.4700000000000002</v>
      </c>
      <c r="E10" s="463">
        <v>10682096.536800001</v>
      </c>
      <c r="F10" s="470">
        <f>'CENSO 2020'!C11</f>
        <v>15393</v>
      </c>
      <c r="G10" s="442">
        <f t="shared" si="0"/>
        <v>1.2459367229589724</v>
      </c>
      <c r="H10" s="121">
        <f>((Datos!K$24*0.7)*0.5)*G10%</f>
        <v>397288.57974165009</v>
      </c>
      <c r="I10" s="470">
        <f>'Predial y Agua'!G10</f>
        <v>4476557</v>
      </c>
      <c r="J10" s="442">
        <f t="shared" ref="J10:J28" si="2">I10/I$29*100</f>
        <v>0.56265205379160155</v>
      </c>
      <c r="K10" s="172">
        <f>((Datos!K$24*0.7)*(0.5))*FFM!J10%</f>
        <v>179411.3868067991</v>
      </c>
      <c r="L10" s="471">
        <f t="shared" ref="L10:L28" si="3">H10+K10</f>
        <v>576699.96654844913</v>
      </c>
      <c r="M10" s="470">
        <v>0</v>
      </c>
      <c r="N10" s="442">
        <v>0</v>
      </c>
      <c r="O10" s="504">
        <v>0</v>
      </c>
      <c r="P10" s="122">
        <f t="shared" ref="P10:P28" si="4">H10+K10+O10</f>
        <v>576699.96654844913</v>
      </c>
      <c r="Q10" s="120">
        <f t="shared" ref="Q10:Q28" si="5">E10+L10+O10</f>
        <v>11258796.503348449</v>
      </c>
      <c r="R10" s="123">
        <f t="shared" si="1"/>
        <v>1.8085887767505739</v>
      </c>
      <c r="S10" s="123">
        <f t="shared" ref="S10:S29" si="6">R10/2</f>
        <v>0.90429438837528697</v>
      </c>
      <c r="T10" s="123">
        <v>1.0658129999999999</v>
      </c>
      <c r="U10" s="124">
        <f t="shared" ref="U10:U28" si="7">S10-T10</f>
        <v>-0.16151861162471293</v>
      </c>
      <c r="V10" s="123">
        <f t="shared" ref="V10:V28" si="8">N10</f>
        <v>0</v>
      </c>
      <c r="X10" s="123">
        <f t="shared" ref="X10:X28" si="9">V10-W10</f>
        <v>0</v>
      </c>
      <c r="Y10" s="105">
        <v>1.4561059999999999</v>
      </c>
      <c r="Z10" s="125">
        <f t="shared" ref="Z10:Z28" si="10">S10-Y10</f>
        <v>-0.55181161162471293</v>
      </c>
      <c r="AA10" s="105"/>
      <c r="AB10" s="105"/>
      <c r="AG10" s="123">
        <f t="shared" ref="AG10:AG29" si="11">G10+J10</f>
        <v>1.8085887767505739</v>
      </c>
      <c r="AH10" s="123">
        <f t="shared" ref="AH10:AH29" si="12">AG10/2</f>
        <v>0.90429438837528697</v>
      </c>
    </row>
    <row r="11" spans="2:34" ht="25.5" customHeight="1" x14ac:dyDescent="0.25">
      <c r="B11" s="510" t="s">
        <v>113</v>
      </c>
      <c r="C11" s="118" t="s">
        <v>48</v>
      </c>
      <c r="D11" s="119">
        <v>2.33</v>
      </c>
      <c r="E11" s="463">
        <v>10076633.575200001</v>
      </c>
      <c r="F11" s="470">
        <f>'CENSO 2020'!C12</f>
        <v>11536</v>
      </c>
      <c r="G11" s="442">
        <f t="shared" si="0"/>
        <v>0.93374430169912959</v>
      </c>
      <c r="H11" s="121">
        <f>((Datos!K$24*0.7)*0.5)*G11%</f>
        <v>297740.60000647529</v>
      </c>
      <c r="I11" s="470">
        <f>'Predial y Agua'!G11</f>
        <v>3050109</v>
      </c>
      <c r="J11" s="442">
        <f t="shared" si="2"/>
        <v>0.38336384260007139</v>
      </c>
      <c r="K11" s="172">
        <f>((Datos!K$24*0.7)*(0.5))*FFM!J11%</f>
        <v>122242.22445998098</v>
      </c>
      <c r="L11" s="471">
        <f t="shared" si="3"/>
        <v>419982.82446645625</v>
      </c>
      <c r="M11" s="470">
        <v>0</v>
      </c>
      <c r="N11" s="442">
        <v>0</v>
      </c>
      <c r="O11" s="504">
        <v>0</v>
      </c>
      <c r="P11" s="122">
        <f t="shared" si="4"/>
        <v>419982.82446645625</v>
      </c>
      <c r="Q11" s="120">
        <f t="shared" si="5"/>
        <v>10496616.399666457</v>
      </c>
      <c r="R11" s="123">
        <f t="shared" si="1"/>
        <v>1.317108144299201</v>
      </c>
      <c r="S11" s="123">
        <f t="shared" si="6"/>
        <v>0.65855407214960049</v>
      </c>
      <c r="T11" s="123">
        <v>0.85747200000000001</v>
      </c>
      <c r="U11" s="124">
        <f t="shared" si="7"/>
        <v>-0.19891792785039952</v>
      </c>
      <c r="V11" s="123">
        <f t="shared" si="8"/>
        <v>0</v>
      </c>
      <c r="X11" s="123">
        <f t="shared" si="9"/>
        <v>0</v>
      </c>
      <c r="Y11" s="105">
        <v>1.167629</v>
      </c>
      <c r="Z11" s="125">
        <f t="shared" si="10"/>
        <v>-0.50907492785039954</v>
      </c>
      <c r="AA11" s="105"/>
      <c r="AB11" s="105"/>
      <c r="AG11" s="123">
        <f t="shared" si="11"/>
        <v>1.317108144299201</v>
      </c>
      <c r="AH11" s="123">
        <f t="shared" si="12"/>
        <v>0.65855407214960049</v>
      </c>
    </row>
    <row r="12" spans="2:34" ht="25.5" customHeight="1" x14ac:dyDescent="0.25">
      <c r="B12" s="510" t="s">
        <v>113</v>
      </c>
      <c r="C12" s="118" t="s">
        <v>49</v>
      </c>
      <c r="D12" s="119">
        <v>2.81</v>
      </c>
      <c r="E12" s="463">
        <v>12152506.5864</v>
      </c>
      <c r="F12" s="470">
        <f>'CENSO 2020'!C13</f>
        <v>187632</v>
      </c>
      <c r="G12" s="442">
        <f t="shared" si="0"/>
        <v>15.187266887691669</v>
      </c>
      <c r="H12" s="121">
        <f>((Datos!K$24*0.7)*0.5)*G12%</f>
        <v>4842724.0170262633</v>
      </c>
      <c r="I12" s="470">
        <f>'Predial y Agua'!G12</f>
        <v>323649261</v>
      </c>
      <c r="J12" s="442">
        <f t="shared" si="2"/>
        <v>40.679013225964525</v>
      </c>
      <c r="K12" s="172">
        <f>((Datos!K$24*0.7)*(0.5))*FFM!J12%</f>
        <v>12971210.409027668</v>
      </c>
      <c r="L12" s="471">
        <f t="shared" si="3"/>
        <v>17813934.42605393</v>
      </c>
      <c r="M12" s="470">
        <v>0</v>
      </c>
      <c r="N12" s="442">
        <v>0</v>
      </c>
      <c r="O12" s="504">
        <v>0</v>
      </c>
      <c r="P12" s="122">
        <f t="shared" si="4"/>
        <v>17813934.42605393</v>
      </c>
      <c r="Q12" s="120">
        <f t="shared" si="5"/>
        <v>29966441.012453929</v>
      </c>
      <c r="R12" s="123">
        <f t="shared" si="1"/>
        <v>55.866280113656195</v>
      </c>
      <c r="S12" s="123">
        <f t="shared" si="6"/>
        <v>27.933140056828098</v>
      </c>
      <c r="T12" s="123">
        <v>26.514603000000001</v>
      </c>
      <c r="U12" s="124">
        <f t="shared" si="7"/>
        <v>1.4185370568280966</v>
      </c>
      <c r="V12" s="123">
        <f t="shared" si="8"/>
        <v>0</v>
      </c>
      <c r="X12" s="123">
        <f t="shared" si="9"/>
        <v>0</v>
      </c>
      <c r="Y12" s="105">
        <v>39.874909000000002</v>
      </c>
      <c r="Z12" s="125">
        <f t="shared" si="10"/>
        <v>-11.941768943171905</v>
      </c>
      <c r="AA12" s="105"/>
      <c r="AB12" s="105"/>
      <c r="AG12" s="123">
        <f t="shared" si="11"/>
        <v>55.866280113656195</v>
      </c>
      <c r="AH12" s="123">
        <f t="shared" si="12"/>
        <v>27.933140056828098</v>
      </c>
    </row>
    <row r="13" spans="2:34" ht="25.5" customHeight="1" x14ac:dyDescent="0.25">
      <c r="B13" s="510" t="s">
        <v>113</v>
      </c>
      <c r="C13" s="118" t="s">
        <v>50</v>
      </c>
      <c r="D13" s="119">
        <v>4.6399999999999997</v>
      </c>
      <c r="E13" s="463">
        <v>20066772.441599999</v>
      </c>
      <c r="F13" s="470">
        <f>'CENSO 2020'!C14</f>
        <v>77436</v>
      </c>
      <c r="G13" s="442">
        <f t="shared" si="0"/>
        <v>6.2678071902196431</v>
      </c>
      <c r="H13" s="121">
        <f>((Datos!K$24*0.7)*0.5)*G13%</f>
        <v>1998599.2633583061</v>
      </c>
      <c r="I13" s="470">
        <f>'Predial y Agua'!G13</f>
        <v>60010155</v>
      </c>
      <c r="J13" s="442">
        <f t="shared" si="2"/>
        <v>7.5425906470312665</v>
      </c>
      <c r="K13" s="172">
        <f>((Datos!K$24*0.7)*(0.5))*FFM!J13%</f>
        <v>2405086.125573955</v>
      </c>
      <c r="L13" s="471">
        <f t="shared" si="3"/>
        <v>4403685.3889322616</v>
      </c>
      <c r="M13" s="470">
        <v>0</v>
      </c>
      <c r="N13" s="442">
        <v>0</v>
      </c>
      <c r="O13" s="504">
        <v>0</v>
      </c>
      <c r="P13" s="122">
        <f t="shared" si="4"/>
        <v>4403685.3889322616</v>
      </c>
      <c r="Q13" s="120">
        <f t="shared" si="5"/>
        <v>24470457.83053226</v>
      </c>
      <c r="R13" s="123">
        <f t="shared" si="1"/>
        <v>13.81039783725091</v>
      </c>
      <c r="S13" s="123">
        <f t="shared" si="6"/>
        <v>6.9051989186254552</v>
      </c>
      <c r="T13" s="123">
        <v>5.371861</v>
      </c>
      <c r="U13" s="124">
        <f t="shared" si="7"/>
        <v>1.5333379186254552</v>
      </c>
      <c r="V13" s="123">
        <f t="shared" si="8"/>
        <v>0</v>
      </c>
      <c r="X13" s="123">
        <f t="shared" si="9"/>
        <v>0</v>
      </c>
      <c r="Y13" s="105">
        <v>7.3199050000000003</v>
      </c>
      <c r="Z13" s="125">
        <f t="shared" si="10"/>
        <v>-0.41470608137454512</v>
      </c>
      <c r="AA13" s="105"/>
      <c r="AB13" s="105"/>
      <c r="AG13" s="123">
        <f t="shared" si="11"/>
        <v>13.81039783725091</v>
      </c>
      <c r="AH13" s="123">
        <f t="shared" si="12"/>
        <v>6.9051989186254552</v>
      </c>
    </row>
    <row r="14" spans="2:34" s="5" customFormat="1" ht="25.5" customHeight="1" x14ac:dyDescent="0.25">
      <c r="B14" s="511" t="s">
        <v>114</v>
      </c>
      <c r="C14" s="126" t="s">
        <v>51</v>
      </c>
      <c r="D14" s="127">
        <v>1.5</v>
      </c>
      <c r="E14" s="486">
        <v>6487103.1600000001</v>
      </c>
      <c r="F14" s="470">
        <f>'CENSO 2020'!C15</f>
        <v>47550</v>
      </c>
      <c r="G14" s="506">
        <f t="shared" si="0"/>
        <v>3.8487813406547868</v>
      </c>
      <c r="H14" s="121">
        <f>((Datos!K$24*0.7)*0.5)*G14%</f>
        <v>1227250.8261362605</v>
      </c>
      <c r="I14" s="470">
        <f>'Predial y Agua'!G14</f>
        <v>94277</v>
      </c>
      <c r="J14" s="506">
        <f t="shared" si="2"/>
        <v>1.1849541438947569E-2</v>
      </c>
      <c r="K14" s="172">
        <f>((Datos!K$24*0.7)*(0.5))*FFM!J14%</f>
        <v>3778.4322446881824</v>
      </c>
      <c r="L14" s="486">
        <f t="shared" si="3"/>
        <v>1231029.2583809488</v>
      </c>
      <c r="M14" s="505">
        <f>'FGP 30%'!I41</f>
        <v>38654</v>
      </c>
      <c r="N14" s="506">
        <f>M14/M$29*100</f>
        <v>0.53761122811077788</v>
      </c>
      <c r="O14" s="486">
        <f>(Datos!K24-FFM!H29-FFM!K$29)*FFM!N14%</f>
        <v>146937.15797475204</v>
      </c>
      <c r="P14" s="128">
        <f t="shared" si="4"/>
        <v>1377966.4163557009</v>
      </c>
      <c r="Q14" s="129">
        <f t="shared" si="5"/>
        <v>7865069.5763557004</v>
      </c>
      <c r="R14" s="94">
        <f t="shared" si="1"/>
        <v>3.8606308820937345</v>
      </c>
      <c r="S14" s="94">
        <f t="shared" si="6"/>
        <v>1.9303154410468673</v>
      </c>
      <c r="T14" s="94">
        <v>1.826878</v>
      </c>
      <c r="U14" s="130">
        <f t="shared" si="7"/>
        <v>0.10343744104686725</v>
      </c>
      <c r="V14" s="94">
        <f t="shared" si="8"/>
        <v>0.53761122811077788</v>
      </c>
      <c r="W14" s="5">
        <v>0.35585699999999998</v>
      </c>
      <c r="X14" s="94">
        <f t="shared" si="9"/>
        <v>0.1817542281107779</v>
      </c>
      <c r="Y14" s="131">
        <v>2.5551330000000001</v>
      </c>
      <c r="Z14" s="132">
        <f t="shared" si="10"/>
        <v>-0.62481755895313285</v>
      </c>
      <c r="AA14" s="131">
        <v>16.147120999999999</v>
      </c>
      <c r="AB14" s="131">
        <f>W14-AA14</f>
        <v>-15.791263999999998</v>
      </c>
      <c r="AG14" s="123">
        <f t="shared" si="11"/>
        <v>3.8606308820937345</v>
      </c>
      <c r="AH14" s="123">
        <f t="shared" si="12"/>
        <v>1.9303154410468673</v>
      </c>
    </row>
    <row r="15" spans="2:34" s="5" customFormat="1" ht="25.5" customHeight="1" x14ac:dyDescent="0.25">
      <c r="B15" s="511" t="s">
        <v>114</v>
      </c>
      <c r="C15" s="126" t="s">
        <v>52</v>
      </c>
      <c r="D15" s="127">
        <v>1.53</v>
      </c>
      <c r="E15" s="486">
        <v>6616845.2232000008</v>
      </c>
      <c r="F15" s="470">
        <f>'CENSO 2020'!C16</f>
        <v>12230</v>
      </c>
      <c r="G15" s="506">
        <f t="shared" si="0"/>
        <v>0.98991789266473262</v>
      </c>
      <c r="H15" s="121">
        <f>((Datos!K$24*0.7)*0.5)*G15%</f>
        <v>315652.52583904238</v>
      </c>
      <c r="I15" s="470">
        <f>'Predial y Agua'!G15</f>
        <v>99583</v>
      </c>
      <c r="J15" s="506">
        <f t="shared" si="2"/>
        <v>1.2516444998405931E-2</v>
      </c>
      <c r="K15" s="172">
        <f>((Datos!K$24*0.7)*(0.5))*FFM!J15%</f>
        <v>3991.0860360722477</v>
      </c>
      <c r="L15" s="486">
        <f t="shared" si="3"/>
        <v>319643.61187511461</v>
      </c>
      <c r="M15" s="505">
        <f>'FGP 30%'!I42</f>
        <v>12474</v>
      </c>
      <c r="N15" s="506">
        <f>M15/M$29*100</f>
        <v>0.17349206962937452</v>
      </c>
      <c r="O15" s="486">
        <f>(Datos!K24-FFM!H29-FFM!K$29)*FFM!N15%</f>
        <v>47417.967314561407</v>
      </c>
      <c r="P15" s="128">
        <f t="shared" si="4"/>
        <v>367061.57918967603</v>
      </c>
      <c r="Q15" s="129">
        <f t="shared" si="5"/>
        <v>6983906.8023896776</v>
      </c>
      <c r="R15" s="94">
        <f t="shared" si="1"/>
        <v>1.0024343376631386</v>
      </c>
      <c r="S15" s="94">
        <f t="shared" si="6"/>
        <v>0.5012171688315693</v>
      </c>
      <c r="T15" s="94">
        <v>0.53989200000000004</v>
      </c>
      <c r="U15" s="130">
        <f t="shared" si="7"/>
        <v>-3.8674831168430734E-2</v>
      </c>
      <c r="V15" s="94">
        <f t="shared" si="8"/>
        <v>0.17349206962937452</v>
      </c>
      <c r="W15" s="5">
        <v>0.19699800000000001</v>
      </c>
      <c r="X15" s="94">
        <f t="shared" si="9"/>
        <v>-2.3505930370625483E-2</v>
      </c>
      <c r="Y15" s="131">
        <v>0.75530600000000003</v>
      </c>
      <c r="Z15" s="132">
        <f t="shared" si="10"/>
        <v>-0.25408883116843073</v>
      </c>
      <c r="AA15" s="131">
        <v>4.7731430000000001</v>
      </c>
      <c r="AB15" s="131">
        <f t="shared" ref="AB15:AB27" si="13">W15-AA15</f>
        <v>-4.5761450000000004</v>
      </c>
      <c r="AG15" s="123">
        <f t="shared" si="11"/>
        <v>1.0024343376631386</v>
      </c>
      <c r="AH15" s="123">
        <f t="shared" si="12"/>
        <v>0.5012171688315693</v>
      </c>
    </row>
    <row r="16" spans="2:34" s="5" customFormat="1" ht="25.5" customHeight="1" x14ac:dyDescent="0.25">
      <c r="B16" s="512" t="s">
        <v>113</v>
      </c>
      <c r="C16" s="118" t="s">
        <v>53</v>
      </c>
      <c r="D16" s="133">
        <v>3.16</v>
      </c>
      <c r="E16" s="471">
        <v>13666163.990400001</v>
      </c>
      <c r="F16" s="470">
        <f>'CENSO 2020'!C17</f>
        <v>29299</v>
      </c>
      <c r="G16" s="442">
        <f t="shared" si="0"/>
        <v>2.3715130283878989</v>
      </c>
      <c r="H16" s="121">
        <f>((Datos!K$24*0.7)*0.5)*G16%</f>
        <v>756198.148369428</v>
      </c>
      <c r="I16" s="470">
        <f>'Predial y Agua'!G16</f>
        <v>11883725</v>
      </c>
      <c r="J16" s="442">
        <f t="shared" si="2"/>
        <v>1.4936484172869013</v>
      </c>
      <c r="K16" s="172">
        <f>((Datos!K$24*0.7)*(0.5))*FFM!J16%</f>
        <v>476275.75895506935</v>
      </c>
      <c r="L16" s="471">
        <f t="shared" si="3"/>
        <v>1232473.9073244974</v>
      </c>
      <c r="M16" s="470">
        <v>0</v>
      </c>
      <c r="N16" s="442">
        <v>0</v>
      </c>
      <c r="O16" s="486">
        <v>0</v>
      </c>
      <c r="P16" s="134">
        <f t="shared" si="4"/>
        <v>1232473.9073244974</v>
      </c>
      <c r="Q16" s="120">
        <f t="shared" si="5"/>
        <v>14898637.897724498</v>
      </c>
      <c r="R16" s="94">
        <f t="shared" si="1"/>
        <v>3.8651614456748002</v>
      </c>
      <c r="S16" s="94">
        <f t="shared" si="6"/>
        <v>1.9325807228374001</v>
      </c>
      <c r="T16" s="94">
        <v>2.598125</v>
      </c>
      <c r="U16" s="130">
        <f t="shared" si="7"/>
        <v>-0.6655442771625999</v>
      </c>
      <c r="V16" s="94">
        <f t="shared" si="8"/>
        <v>0</v>
      </c>
      <c r="X16" s="94">
        <f t="shared" si="9"/>
        <v>0</v>
      </c>
      <c r="Y16" s="131">
        <v>3.512527</v>
      </c>
      <c r="Z16" s="132">
        <f t="shared" si="10"/>
        <v>-1.5799462771625998</v>
      </c>
      <c r="AA16" s="131"/>
      <c r="AB16" s="131">
        <f t="shared" si="13"/>
        <v>0</v>
      </c>
      <c r="AG16" s="123">
        <f t="shared" si="11"/>
        <v>3.8651614456748002</v>
      </c>
      <c r="AH16" s="123">
        <f t="shared" si="12"/>
        <v>1.9325807228374001</v>
      </c>
    </row>
    <row r="17" spans="2:34" s="5" customFormat="1" ht="25.5" customHeight="1" x14ac:dyDescent="0.25">
      <c r="B17" s="512" t="s">
        <v>113</v>
      </c>
      <c r="C17" s="118" t="s">
        <v>54</v>
      </c>
      <c r="D17" s="133">
        <v>2.81</v>
      </c>
      <c r="E17" s="471">
        <v>12152506.5864</v>
      </c>
      <c r="F17" s="470">
        <f>'CENSO 2020'!C18</f>
        <v>19321</v>
      </c>
      <c r="G17" s="442">
        <f t="shared" si="0"/>
        <v>1.563876010153336</v>
      </c>
      <c r="H17" s="121">
        <f>((Datos!K$24*0.7)*0.5)*G17%</f>
        <v>498669.0475663236</v>
      </c>
      <c r="I17" s="470">
        <f>'Predial y Agua'!G17</f>
        <v>4290832</v>
      </c>
      <c r="J17" s="442">
        <f t="shared" si="2"/>
        <v>0.53930854388198901</v>
      </c>
      <c r="K17" s="172">
        <f>((Datos!K$24*0.7)*(0.5))*FFM!J17%</f>
        <v>171967.90293857339</v>
      </c>
      <c r="L17" s="471">
        <f t="shared" si="3"/>
        <v>670636.95050489693</v>
      </c>
      <c r="M17" s="470">
        <v>0</v>
      </c>
      <c r="N17" s="442">
        <v>0</v>
      </c>
      <c r="O17" s="486">
        <v>0</v>
      </c>
      <c r="P17" s="134">
        <f t="shared" si="4"/>
        <v>670636.95050489693</v>
      </c>
      <c r="Q17" s="120">
        <f t="shared" si="5"/>
        <v>12823143.536904898</v>
      </c>
      <c r="R17" s="94">
        <f t="shared" si="1"/>
        <v>2.1031845540353249</v>
      </c>
      <c r="S17" s="94">
        <f t="shared" si="6"/>
        <v>1.0515922770176624</v>
      </c>
      <c r="T17" s="94">
        <v>1.1819949999999999</v>
      </c>
      <c r="U17" s="130">
        <f t="shared" si="7"/>
        <v>-0.13040272298233746</v>
      </c>
      <c r="V17" s="94">
        <f t="shared" si="8"/>
        <v>0</v>
      </c>
      <c r="X17" s="94">
        <f t="shared" si="9"/>
        <v>0</v>
      </c>
      <c r="Y17" s="131">
        <v>1.6183019999999999</v>
      </c>
      <c r="Z17" s="132">
        <f t="shared" si="10"/>
        <v>-0.56670972298233746</v>
      </c>
      <c r="AA17" s="131"/>
      <c r="AB17" s="131">
        <f t="shared" si="13"/>
        <v>0</v>
      </c>
      <c r="AG17" s="123">
        <f t="shared" si="11"/>
        <v>2.1031845540353249</v>
      </c>
      <c r="AH17" s="123">
        <f t="shared" si="12"/>
        <v>1.0515922770176624</v>
      </c>
    </row>
    <row r="18" spans="2:34" s="5" customFormat="1" ht="25.5" customHeight="1" x14ac:dyDescent="0.25">
      <c r="B18" s="512" t="s">
        <v>113</v>
      </c>
      <c r="C18" s="118" t="s">
        <v>55</v>
      </c>
      <c r="D18" s="133">
        <v>1.6</v>
      </c>
      <c r="E18" s="471">
        <v>6919576.7039999999</v>
      </c>
      <c r="F18" s="470">
        <f>'CENSO 2020'!C19</f>
        <v>13719</v>
      </c>
      <c r="G18" s="442">
        <f t="shared" si="0"/>
        <v>1.1104401937422297</v>
      </c>
      <c r="H18" s="121">
        <f>((Datos!K$24*0.7)*0.5)*G18%</f>
        <v>354083.15633571736</v>
      </c>
      <c r="I18" s="470">
        <f>'Predial y Agua'!G18</f>
        <v>561068</v>
      </c>
      <c r="J18" s="442">
        <f t="shared" si="2"/>
        <v>7.0519835337011519E-2</v>
      </c>
      <c r="K18" s="172">
        <f>((Datos!K$24*0.7)*(0.5))*FFM!J18%</f>
        <v>22486.475202464113</v>
      </c>
      <c r="L18" s="471">
        <f t="shared" si="3"/>
        <v>376569.63153818145</v>
      </c>
      <c r="M18" s="470">
        <v>0</v>
      </c>
      <c r="N18" s="442">
        <v>0</v>
      </c>
      <c r="O18" s="486">
        <v>0</v>
      </c>
      <c r="P18" s="134">
        <f t="shared" si="4"/>
        <v>376569.63153818145</v>
      </c>
      <c r="Q18" s="120">
        <f t="shared" si="5"/>
        <v>7296146.3355381815</v>
      </c>
      <c r="R18" s="94">
        <f t="shared" si="1"/>
        <v>1.1809600290792412</v>
      </c>
      <c r="S18" s="94">
        <f t="shared" si="6"/>
        <v>0.59048001453962062</v>
      </c>
      <c r="T18" s="94">
        <v>0.66424499999999997</v>
      </c>
      <c r="U18" s="130">
        <v>9.9999999999999995E-7</v>
      </c>
      <c r="V18" s="94">
        <f t="shared" si="8"/>
        <v>0</v>
      </c>
      <c r="X18" s="94">
        <f t="shared" si="9"/>
        <v>0</v>
      </c>
      <c r="Y18" s="131">
        <v>0.92457</v>
      </c>
      <c r="Z18" s="132">
        <f t="shared" si="10"/>
        <v>-0.33408998546037938</v>
      </c>
      <c r="AA18" s="131"/>
      <c r="AB18" s="131">
        <f t="shared" si="13"/>
        <v>0</v>
      </c>
      <c r="AG18" s="123">
        <f t="shared" si="11"/>
        <v>1.1809600290792412</v>
      </c>
      <c r="AH18" s="123">
        <f t="shared" si="12"/>
        <v>0.59048001453962062</v>
      </c>
    </row>
    <row r="19" spans="2:34" s="5" customFormat="1" ht="25.5" customHeight="1" x14ac:dyDescent="0.25">
      <c r="B19" s="511" t="s">
        <v>114</v>
      </c>
      <c r="C19" s="126" t="s">
        <v>56</v>
      </c>
      <c r="D19" s="127">
        <v>2.84</v>
      </c>
      <c r="E19" s="486">
        <v>12282248.649599999</v>
      </c>
      <c r="F19" s="470">
        <f>'CENSO 2020'!C20</f>
        <v>33567</v>
      </c>
      <c r="G19" s="506">
        <f t="shared" si="0"/>
        <v>2.7169725186489848</v>
      </c>
      <c r="H19" s="121">
        <f>((Datos!K$24*0.7)*0.5)*G19%</f>
        <v>866353.91127057537</v>
      </c>
      <c r="I19" s="470">
        <f>'Predial y Agua'!G19</f>
        <v>2522032</v>
      </c>
      <c r="J19" s="506">
        <f t="shared" si="2"/>
        <v>0.31699059891969217</v>
      </c>
      <c r="K19" s="172">
        <f>((Datos!K$24*0.7)*(0.5))*FFM!J19%</f>
        <v>101077.96207914366</v>
      </c>
      <c r="L19" s="486">
        <f t="shared" si="3"/>
        <v>967431.87334971898</v>
      </c>
      <c r="M19" s="505">
        <f>'FGP 30%'!I46</f>
        <v>1605974</v>
      </c>
      <c r="N19" s="506">
        <f>M19/M$29*100</f>
        <v>22.336359871008909</v>
      </c>
      <c r="O19" s="486">
        <f>(Datos!K24-FFM!H29-FFM!K$29)*FFM!N19%</f>
        <v>6104859.9198360955</v>
      </c>
      <c r="P19" s="128">
        <f t="shared" si="4"/>
        <v>7072291.7931858143</v>
      </c>
      <c r="Q19" s="129">
        <f t="shared" si="5"/>
        <v>19354540.442785814</v>
      </c>
      <c r="R19" s="94">
        <f t="shared" si="1"/>
        <v>3.033963117568677</v>
      </c>
      <c r="S19" s="94">
        <f t="shared" si="6"/>
        <v>1.5169815587843385</v>
      </c>
      <c r="T19" s="94">
        <v>1.606241</v>
      </c>
      <c r="U19" s="130">
        <f t="shared" si="7"/>
        <v>-8.9259441215661539E-2</v>
      </c>
      <c r="V19" s="94">
        <f t="shared" si="8"/>
        <v>22.336359871008909</v>
      </c>
      <c r="W19" s="5">
        <v>16.427489000000001</v>
      </c>
      <c r="X19" s="94">
        <f t="shared" si="9"/>
        <v>5.908870871008908</v>
      </c>
      <c r="Y19" s="131">
        <v>2.2329530000000002</v>
      </c>
      <c r="Z19" s="132">
        <f t="shared" si="10"/>
        <v>-0.7159714412156617</v>
      </c>
      <c r="AA19" s="131">
        <v>14.111107000000001</v>
      </c>
      <c r="AB19" s="131">
        <f t="shared" si="13"/>
        <v>2.3163820000000008</v>
      </c>
      <c r="AG19" s="123">
        <f t="shared" si="11"/>
        <v>3.033963117568677</v>
      </c>
      <c r="AH19" s="123">
        <f t="shared" si="12"/>
        <v>1.5169815587843385</v>
      </c>
    </row>
    <row r="20" spans="2:34" s="5" customFormat="1" ht="25.5" customHeight="1" x14ac:dyDescent="0.25">
      <c r="B20" s="512" t="s">
        <v>113</v>
      </c>
      <c r="C20" s="118" t="s">
        <v>57</v>
      </c>
      <c r="D20" s="133">
        <v>3.33</v>
      </c>
      <c r="E20" s="471">
        <v>14401369.015200002</v>
      </c>
      <c r="F20" s="470">
        <f>'CENSO 2020'!C21</f>
        <v>24096</v>
      </c>
      <c r="G20" s="442">
        <f t="shared" si="0"/>
        <v>1.9503729796933278</v>
      </c>
      <c r="H20" s="121">
        <f>((Datos!K$24*0.7)*0.5)*G20%</f>
        <v>621910.3240079775</v>
      </c>
      <c r="I20" s="470">
        <f>'Predial y Agua'!G20</f>
        <v>3423553</v>
      </c>
      <c r="J20" s="442">
        <f t="shared" si="2"/>
        <v>0.43030148543052144</v>
      </c>
      <c r="K20" s="172">
        <f>((Datos!K$24*0.7)*(0.5))*FFM!J20%</f>
        <v>137209.10769964001</v>
      </c>
      <c r="L20" s="471">
        <f t="shared" si="3"/>
        <v>759119.43170761748</v>
      </c>
      <c r="M20" s="470">
        <v>0</v>
      </c>
      <c r="N20" s="442">
        <v>0</v>
      </c>
      <c r="O20" s="486">
        <f>(Datos!K31-FFM!H35-FFM!K$29)*FFM!N20%</f>
        <v>0</v>
      </c>
      <c r="P20" s="134">
        <f t="shared" si="4"/>
        <v>759119.43170761748</v>
      </c>
      <c r="Q20" s="120">
        <f t="shared" si="5"/>
        <v>15160488.446907619</v>
      </c>
      <c r="R20" s="94">
        <f t="shared" si="1"/>
        <v>2.3806744651238492</v>
      </c>
      <c r="S20" s="94">
        <f t="shared" si="6"/>
        <v>1.1903372325619246</v>
      </c>
      <c r="T20" s="94">
        <v>1.225519</v>
      </c>
      <c r="U20" s="130">
        <f t="shared" si="7"/>
        <v>-3.518176743807544E-2</v>
      </c>
      <c r="V20" s="94">
        <f t="shared" si="8"/>
        <v>0</v>
      </c>
      <c r="X20" s="94">
        <f t="shared" si="9"/>
        <v>0</v>
      </c>
      <c r="Y20" s="131">
        <v>1.699298</v>
      </c>
      <c r="Z20" s="132">
        <f t="shared" si="10"/>
        <v>-0.50896076743807539</v>
      </c>
      <c r="AA20" s="131"/>
      <c r="AB20" s="131">
        <f t="shared" si="13"/>
        <v>0</v>
      </c>
      <c r="AG20" s="123">
        <f t="shared" si="11"/>
        <v>2.3806744651238492</v>
      </c>
      <c r="AH20" s="123">
        <f t="shared" si="12"/>
        <v>1.1903372325619246</v>
      </c>
    </row>
    <row r="21" spans="2:34" s="5" customFormat="1" ht="25.5" customHeight="1" x14ac:dyDescent="0.25">
      <c r="B21" s="512" t="s">
        <v>113</v>
      </c>
      <c r="C21" s="118" t="s">
        <v>58</v>
      </c>
      <c r="D21" s="133">
        <v>4.6900000000000004</v>
      </c>
      <c r="E21" s="471">
        <v>20283009.213600002</v>
      </c>
      <c r="F21" s="470">
        <f>'CENSO 2020'!C22</f>
        <v>41518</v>
      </c>
      <c r="G21" s="442">
        <f t="shared" si="0"/>
        <v>3.3605405615416495</v>
      </c>
      <c r="H21" s="121">
        <f>((Datos!K$24*0.7)*0.5)*G21%</f>
        <v>1071566.7676030549</v>
      </c>
      <c r="I21" s="470">
        <f>'Predial y Agua'!G21</f>
        <v>5209406</v>
      </c>
      <c r="J21" s="442">
        <f t="shared" si="2"/>
        <v>0.65476279759964895</v>
      </c>
      <c r="K21" s="172">
        <f>((Datos!K$24*0.7)*(0.5))*FFM!J21%</f>
        <v>208782.49844683314</v>
      </c>
      <c r="L21" s="471">
        <f t="shared" si="3"/>
        <v>1280349.266049888</v>
      </c>
      <c r="M21" s="470">
        <v>0</v>
      </c>
      <c r="N21" s="442">
        <v>0</v>
      </c>
      <c r="O21" s="486">
        <v>0</v>
      </c>
      <c r="P21" s="134">
        <f t="shared" si="4"/>
        <v>1280349.266049888</v>
      </c>
      <c r="Q21" s="120">
        <f t="shared" si="5"/>
        <v>21563358.47964989</v>
      </c>
      <c r="R21" s="94">
        <f t="shared" si="1"/>
        <v>4.0153033591412983</v>
      </c>
      <c r="S21" s="94">
        <f t="shared" si="6"/>
        <v>2.0076516795706492</v>
      </c>
      <c r="T21" s="94">
        <v>2.2379220000000002</v>
      </c>
      <c r="U21" s="130">
        <f t="shared" si="7"/>
        <v>-0.23027032042935103</v>
      </c>
      <c r="V21" s="94">
        <f t="shared" si="8"/>
        <v>0</v>
      </c>
      <c r="X21" s="94">
        <f t="shared" si="9"/>
        <v>0</v>
      </c>
      <c r="Y21" s="131">
        <v>3.0983839999999998</v>
      </c>
      <c r="Z21" s="132">
        <f t="shared" si="10"/>
        <v>-1.0907323204293506</v>
      </c>
      <c r="AA21" s="131"/>
      <c r="AB21" s="131">
        <f t="shared" si="13"/>
        <v>0</v>
      </c>
      <c r="AG21" s="123">
        <f t="shared" si="11"/>
        <v>4.0153033591412983</v>
      </c>
      <c r="AH21" s="123">
        <f t="shared" si="12"/>
        <v>2.0076516795706492</v>
      </c>
    </row>
    <row r="22" spans="2:34" s="5" customFormat="1" ht="25.5" customHeight="1" x14ac:dyDescent="0.25">
      <c r="B22" s="512" t="s">
        <v>113</v>
      </c>
      <c r="C22" s="118" t="s">
        <v>59</v>
      </c>
      <c r="D22" s="133">
        <v>2.13</v>
      </c>
      <c r="E22" s="471">
        <v>9211686.4871999994</v>
      </c>
      <c r="F22" s="470">
        <f>'CENSO 2020'!C23</f>
        <v>7683</v>
      </c>
      <c r="G22" s="442">
        <f t="shared" si="0"/>
        <v>0.62187564753418989</v>
      </c>
      <c r="H22" s="121">
        <f>((Datos!K$24*0.7)*0.5)*G22%</f>
        <v>198295.85903690624</v>
      </c>
      <c r="I22" s="470">
        <f>'Predial y Agua'!G22</f>
        <v>2088284</v>
      </c>
      <c r="J22" s="442">
        <f t="shared" si="2"/>
        <v>0.26247343248396943</v>
      </c>
      <c r="K22" s="172">
        <f>((Datos!K$24*0.7)*(0.5))*FFM!J22%</f>
        <v>83694.215998243657</v>
      </c>
      <c r="L22" s="471">
        <f t="shared" si="3"/>
        <v>281990.07503514993</v>
      </c>
      <c r="M22" s="470">
        <v>0</v>
      </c>
      <c r="N22" s="442">
        <f>M22/M$29*100</f>
        <v>0</v>
      </c>
      <c r="O22" s="471">
        <f>(Datos!K24-FFM!H29-FFM!K$29)*FFM!N22%</f>
        <v>0</v>
      </c>
      <c r="P22" s="134">
        <f t="shared" si="4"/>
        <v>281990.07503514993</v>
      </c>
      <c r="Q22" s="120">
        <f t="shared" si="5"/>
        <v>9493676.5622351486</v>
      </c>
      <c r="R22" s="94">
        <f t="shared" si="1"/>
        <v>0.88434908001815926</v>
      </c>
      <c r="S22" s="94">
        <f t="shared" si="6"/>
        <v>0.44217454000907963</v>
      </c>
      <c r="T22" s="94">
        <v>0.43209399999999998</v>
      </c>
      <c r="U22" s="130">
        <f t="shared" si="7"/>
        <v>1.0080540009079653E-2</v>
      </c>
      <c r="V22" s="94">
        <f t="shared" si="8"/>
        <v>0</v>
      </c>
      <c r="W22" s="5">
        <v>11.183956</v>
      </c>
      <c r="X22" s="94">
        <f t="shared" si="9"/>
        <v>-11.183956</v>
      </c>
      <c r="Y22" s="131">
        <v>0.59435300000000002</v>
      </c>
      <c r="Z22" s="132">
        <f t="shared" si="10"/>
        <v>-0.15217845999092039</v>
      </c>
      <c r="AA22" s="131">
        <v>3.7560030000000002</v>
      </c>
      <c r="AB22" s="131">
        <f t="shared" si="13"/>
        <v>7.4279530000000005</v>
      </c>
      <c r="AG22" s="123">
        <f t="shared" si="11"/>
        <v>0.88434908001815926</v>
      </c>
      <c r="AH22" s="123">
        <f t="shared" si="12"/>
        <v>0.44217454000907963</v>
      </c>
    </row>
    <row r="23" spans="2:34" s="5" customFormat="1" ht="25.5" customHeight="1" x14ac:dyDescent="0.25">
      <c r="B23" s="512" t="s">
        <v>115</v>
      </c>
      <c r="C23" s="118" t="s">
        <v>60</v>
      </c>
      <c r="D23" s="133">
        <v>2.81</v>
      </c>
      <c r="E23" s="471">
        <v>12152506.5864</v>
      </c>
      <c r="F23" s="470">
        <f>'CENSO 2020'!C24</f>
        <v>24911</v>
      </c>
      <c r="G23" s="442">
        <f t="shared" si="0"/>
        <v>2.0163405252797348</v>
      </c>
      <c r="H23" s="121">
        <f>((Datos!K$24*0.7)*0.5)*G23%</f>
        <v>642945.2225001133</v>
      </c>
      <c r="I23" s="470">
        <f>'Predial y Agua'!G23</f>
        <v>2820618</v>
      </c>
      <c r="J23" s="442">
        <f t="shared" si="2"/>
        <v>0.35451944667778373</v>
      </c>
      <c r="K23" s="172">
        <f>((Datos!K$24*0.7)*(0.5))*FFM!J23%</f>
        <v>113044.68747571405</v>
      </c>
      <c r="L23" s="471">
        <f t="shared" si="3"/>
        <v>755989.90997582732</v>
      </c>
      <c r="M23" s="470">
        <v>0</v>
      </c>
      <c r="N23" s="442">
        <v>0</v>
      </c>
      <c r="O23" s="471">
        <v>0</v>
      </c>
      <c r="P23" s="134">
        <f t="shared" si="4"/>
        <v>755989.90997582732</v>
      </c>
      <c r="Q23" s="120">
        <f t="shared" si="5"/>
        <v>12908496.496375827</v>
      </c>
      <c r="R23" s="94">
        <f t="shared" si="1"/>
        <v>2.3708599719575187</v>
      </c>
      <c r="S23" s="94">
        <f t="shared" si="6"/>
        <v>1.1854299859787594</v>
      </c>
      <c r="T23" s="94">
        <v>1.3994949999999999</v>
      </c>
      <c r="U23" s="130">
        <f t="shared" si="7"/>
        <v>-0.21406501402124056</v>
      </c>
      <c r="V23" s="94">
        <f t="shared" si="8"/>
        <v>0</v>
      </c>
      <c r="X23" s="94">
        <f t="shared" si="9"/>
        <v>0</v>
      </c>
      <c r="Y23" s="131">
        <v>1.921861</v>
      </c>
      <c r="Z23" s="132">
        <f t="shared" si="10"/>
        <v>-0.73643101402124067</v>
      </c>
      <c r="AA23" s="131"/>
      <c r="AB23" s="131">
        <f t="shared" si="13"/>
        <v>0</v>
      </c>
      <c r="AG23" s="123">
        <f t="shared" si="11"/>
        <v>2.3708599719575187</v>
      </c>
      <c r="AH23" s="123">
        <f t="shared" si="12"/>
        <v>1.1854299859787594</v>
      </c>
    </row>
    <row r="24" spans="2:34" s="5" customFormat="1" ht="25.5" customHeight="1" x14ac:dyDescent="0.25">
      <c r="B24" s="511" t="s">
        <v>114</v>
      </c>
      <c r="C24" s="126" t="s">
        <v>61</v>
      </c>
      <c r="D24" s="127">
        <v>8.34</v>
      </c>
      <c r="E24" s="486">
        <v>36068293.569600001</v>
      </c>
      <c r="F24" s="470">
        <f>'CENSO 2020'!C25</f>
        <v>93981</v>
      </c>
      <c r="G24" s="506">
        <f t="shared" si="0"/>
        <v>7.6069888365105687</v>
      </c>
      <c r="H24" s="121">
        <f>((Datos!K$24*0.7)*0.5)*G24%</f>
        <v>2425620.607594362</v>
      </c>
      <c r="I24" s="470">
        <f>'Predial y Agua'!G24</f>
        <v>17843967</v>
      </c>
      <c r="J24" s="506">
        <f t="shared" si="2"/>
        <v>2.2427827190270473</v>
      </c>
      <c r="K24" s="172">
        <f>((Datos!K$24*0.7)*(0.5))*FFM!J24%</f>
        <v>715150.25176821346</v>
      </c>
      <c r="L24" s="486">
        <f t="shared" si="3"/>
        <v>3140770.8593625752</v>
      </c>
      <c r="M24" s="505">
        <f>'FGP 30%'!I51</f>
        <v>3990729</v>
      </c>
      <c r="N24" s="506">
        <f>M24/M$29*100</f>
        <v>55.504235493022627</v>
      </c>
      <c r="O24" s="486">
        <f>(Datos!K24-FFM!H29-FFM!K$29)*FFM!N24%</f>
        <v>15170134.462343464</v>
      </c>
      <c r="P24" s="128">
        <f t="shared" si="4"/>
        <v>18310905.321706038</v>
      </c>
      <c r="Q24" s="129">
        <f t="shared" si="5"/>
        <v>54379198.891306035</v>
      </c>
      <c r="R24" s="94">
        <f t="shared" si="1"/>
        <v>9.8497715555376164</v>
      </c>
      <c r="S24" s="94">
        <f t="shared" si="6"/>
        <v>4.9248857777688082</v>
      </c>
      <c r="T24" s="94">
        <v>5.5728949999999999</v>
      </c>
      <c r="U24" s="130">
        <f t="shared" si="7"/>
        <v>-0.64800922223119173</v>
      </c>
      <c r="V24" s="94">
        <f t="shared" si="8"/>
        <v>55.504235493022627</v>
      </c>
      <c r="W24" s="5">
        <v>59.916367999999999</v>
      </c>
      <c r="X24" s="94">
        <f t="shared" si="9"/>
        <v>-4.4121325069773718</v>
      </c>
      <c r="Y24" s="131">
        <v>7.6699279999999996</v>
      </c>
      <c r="Z24" s="132">
        <f t="shared" si="10"/>
        <v>-2.7450422222311914</v>
      </c>
      <c r="AA24" s="131">
        <v>48.469971999999999</v>
      </c>
      <c r="AB24" s="131">
        <f t="shared" si="13"/>
        <v>11.446396</v>
      </c>
      <c r="AG24" s="123">
        <f t="shared" si="11"/>
        <v>9.8497715555376164</v>
      </c>
      <c r="AH24" s="123">
        <f t="shared" si="12"/>
        <v>4.9248857777688082</v>
      </c>
    </row>
    <row r="25" spans="2:34" s="5" customFormat="1" ht="25.5" customHeight="1" x14ac:dyDescent="0.25">
      <c r="B25" s="512" t="s">
        <v>113</v>
      </c>
      <c r="C25" s="118" t="s">
        <v>62</v>
      </c>
      <c r="D25" s="133">
        <v>3.5</v>
      </c>
      <c r="E25" s="471">
        <v>15136574.040000001</v>
      </c>
      <c r="F25" s="470">
        <f>'CENSO 2020'!C26</f>
        <v>37135</v>
      </c>
      <c r="G25" s="442">
        <f t="shared" si="0"/>
        <v>3.0057727673021133</v>
      </c>
      <c r="H25" s="121">
        <f>((Datos!K$24*0.7)*0.5)*G25%</f>
        <v>958442.89019074722</v>
      </c>
      <c r="I25" s="470">
        <f>'Predial y Agua'!G25</f>
        <v>4883574</v>
      </c>
      <c r="J25" s="442">
        <f t="shared" si="2"/>
        <v>0.61380943902719587</v>
      </c>
      <c r="K25" s="172">
        <f>((Datos!K$24*0.7)*(0.5))*FFM!J25%</f>
        <v>195723.80825568113</v>
      </c>
      <c r="L25" s="471">
        <f t="shared" si="3"/>
        <v>1154166.6984464284</v>
      </c>
      <c r="M25" s="470">
        <v>0</v>
      </c>
      <c r="N25" s="442">
        <v>0</v>
      </c>
      <c r="O25" s="471">
        <v>0</v>
      </c>
      <c r="P25" s="134">
        <f t="shared" si="4"/>
        <v>1154166.6984464284</v>
      </c>
      <c r="Q25" s="120">
        <f t="shared" si="5"/>
        <v>16290740.738446429</v>
      </c>
      <c r="R25" s="94">
        <f t="shared" si="1"/>
        <v>3.619582206329309</v>
      </c>
      <c r="S25" s="94">
        <f t="shared" si="6"/>
        <v>1.8097911031646545</v>
      </c>
      <c r="T25" s="94">
        <v>2.767077</v>
      </c>
      <c r="U25" s="130">
        <f t="shared" si="7"/>
        <v>-0.95728589683534548</v>
      </c>
      <c r="V25" s="94">
        <f t="shared" si="8"/>
        <v>0</v>
      </c>
      <c r="X25" s="94">
        <f t="shared" si="9"/>
        <v>0</v>
      </c>
      <c r="Y25" s="131">
        <v>3.7737189999999998</v>
      </c>
      <c r="Z25" s="132">
        <f t="shared" si="10"/>
        <v>-1.9639278968353453</v>
      </c>
      <c r="AA25" s="131"/>
      <c r="AB25" s="131">
        <f t="shared" si="13"/>
        <v>0</v>
      </c>
      <c r="AG25" s="123">
        <f t="shared" si="11"/>
        <v>3.619582206329309</v>
      </c>
      <c r="AH25" s="123">
        <f t="shared" si="12"/>
        <v>1.8097911031646545</v>
      </c>
    </row>
    <row r="26" spans="2:34" s="5" customFormat="1" ht="25.5" customHeight="1" x14ac:dyDescent="0.25">
      <c r="B26" s="512" t="s">
        <v>113</v>
      </c>
      <c r="C26" s="118" t="s">
        <v>63</v>
      </c>
      <c r="D26" s="133">
        <v>39</v>
      </c>
      <c r="E26" s="471">
        <v>168664682.16</v>
      </c>
      <c r="F26" s="470">
        <f>'CENSO 2020'!C27</f>
        <v>425924</v>
      </c>
      <c r="G26" s="442">
        <f t="shared" si="0"/>
        <v>34.475044032324909</v>
      </c>
      <c r="H26" s="121">
        <f>((Datos!K$24*0.7)*0.5)*G26%</f>
        <v>10992967.000447122</v>
      </c>
      <c r="I26" s="470">
        <f>'Predial y Agua'!G26</f>
        <v>288565311</v>
      </c>
      <c r="J26" s="442">
        <f t="shared" si="2"/>
        <v>36.269361673974487</v>
      </c>
      <c r="K26" s="172">
        <f>((Datos!K$24*0.7)*(0.5))*FFM!J26%</f>
        <v>11565116.36752202</v>
      </c>
      <c r="L26" s="471">
        <f t="shared" si="3"/>
        <v>22558083.36796914</v>
      </c>
      <c r="M26" s="470">
        <v>0</v>
      </c>
      <c r="N26" s="442">
        <v>0</v>
      </c>
      <c r="O26" s="471">
        <v>0</v>
      </c>
      <c r="P26" s="134">
        <f t="shared" si="4"/>
        <v>22558083.36796914</v>
      </c>
      <c r="Q26" s="120">
        <f t="shared" si="5"/>
        <v>191222765.52796912</v>
      </c>
      <c r="R26" s="94">
        <f t="shared" si="1"/>
        <v>70.744405706299403</v>
      </c>
      <c r="S26" s="94">
        <f t="shared" si="6"/>
        <v>35.372202853149702</v>
      </c>
      <c r="T26" s="94">
        <v>35.053296000000003</v>
      </c>
      <c r="U26" s="130">
        <f t="shared" si="7"/>
        <v>0.31890685314969858</v>
      </c>
      <c r="V26" s="94">
        <f t="shared" si="8"/>
        <v>0</v>
      </c>
      <c r="X26" s="94">
        <f t="shared" si="9"/>
        <v>0</v>
      </c>
      <c r="Y26" s="131">
        <v>47.455587999999999</v>
      </c>
      <c r="Z26" s="132">
        <f t="shared" si="10"/>
        <v>-12.083385146850297</v>
      </c>
      <c r="AA26" s="131"/>
      <c r="AB26" s="131">
        <f t="shared" si="13"/>
        <v>0</v>
      </c>
      <c r="AG26" s="123">
        <f t="shared" si="11"/>
        <v>70.744405706299403</v>
      </c>
      <c r="AH26" s="123">
        <f t="shared" si="12"/>
        <v>35.372202853149702</v>
      </c>
    </row>
    <row r="27" spans="2:34" s="5" customFormat="1" ht="25.5" customHeight="1" x14ac:dyDescent="0.25">
      <c r="B27" s="511" t="s">
        <v>116</v>
      </c>
      <c r="C27" s="126" t="s">
        <v>64</v>
      </c>
      <c r="D27" s="127">
        <v>3.79</v>
      </c>
      <c r="E27" s="486">
        <v>16390747.317600001</v>
      </c>
      <c r="F27" s="470">
        <f>'CENSO 2020'!C28</f>
        <v>30064</v>
      </c>
      <c r="G27" s="506">
        <f t="shared" si="0"/>
        <v>2.4334334852880231</v>
      </c>
      <c r="H27" s="121">
        <f>((Datos!K$24*0.7)*0.5)*G27%</f>
        <v>775942.56229149387</v>
      </c>
      <c r="I27" s="470">
        <f>'Predial y Agua'!G27</f>
        <v>3116609</v>
      </c>
      <c r="J27" s="506">
        <f t="shared" si="2"/>
        <v>0.39172213259328303</v>
      </c>
      <c r="K27" s="172">
        <f>((Datos!K$24*0.7)*(0.5))*FFM!J27%</f>
        <v>124907.4104997549</v>
      </c>
      <c r="L27" s="486">
        <f t="shared" si="3"/>
        <v>900849.97279124882</v>
      </c>
      <c r="M27" s="505">
        <f>'FGP 30%'!I54</f>
        <v>1542123</v>
      </c>
      <c r="N27" s="506">
        <f>M27/M$29*100</f>
        <v>21.448301338228312</v>
      </c>
      <c r="O27" s="486">
        <f>(Datos!K24-FFM!H29-FFM!K$29)*FFM!N27%</f>
        <v>5862140.2925311364</v>
      </c>
      <c r="P27" s="128">
        <f t="shared" si="4"/>
        <v>6762990.2653223854</v>
      </c>
      <c r="Q27" s="129">
        <f t="shared" si="5"/>
        <v>23153737.582922384</v>
      </c>
      <c r="R27" s="94">
        <f t="shared" si="1"/>
        <v>2.8251556178813062</v>
      </c>
      <c r="S27" s="94">
        <f t="shared" si="6"/>
        <v>1.4125778089406531</v>
      </c>
      <c r="T27" s="94">
        <v>1.450617</v>
      </c>
      <c r="U27" s="130">
        <f t="shared" si="7"/>
        <v>-3.8039191059346944E-2</v>
      </c>
      <c r="V27" s="94">
        <f t="shared" si="8"/>
        <v>21.448301338228312</v>
      </c>
      <c r="W27" s="5">
        <v>11.919331</v>
      </c>
      <c r="X27" s="94">
        <f t="shared" si="9"/>
        <v>9.5289703382283122</v>
      </c>
      <c r="Y27" s="131">
        <v>2.0164080000000002</v>
      </c>
      <c r="Z27" s="132">
        <f t="shared" si="10"/>
        <v>-0.6038301910593471</v>
      </c>
      <c r="AA27" s="131">
        <v>12.742653000000001</v>
      </c>
      <c r="AB27" s="131">
        <f t="shared" si="13"/>
        <v>-0.823322000000001</v>
      </c>
      <c r="AG27" s="123">
        <f t="shared" si="11"/>
        <v>2.8251556178813062</v>
      </c>
      <c r="AH27" s="123">
        <f t="shared" si="12"/>
        <v>1.4125778089406531</v>
      </c>
    </row>
    <row r="28" spans="2:34" s="5" customFormat="1" ht="25.5" customHeight="1" thickBot="1" x14ac:dyDescent="0.3">
      <c r="B28" s="513" t="s">
        <v>113</v>
      </c>
      <c r="C28" s="135" t="s">
        <v>65</v>
      </c>
      <c r="D28" s="133">
        <v>3.1</v>
      </c>
      <c r="E28" s="471">
        <v>13406679.864</v>
      </c>
      <c r="F28" s="470">
        <f>'CENSO 2020'!C29</f>
        <v>65229</v>
      </c>
      <c r="G28" s="442">
        <f t="shared" si="0"/>
        <v>5.2797509583506006</v>
      </c>
      <c r="H28" s="121">
        <f>((Datos!K$24*0.7)*0.5)*G28%</f>
        <v>1683540.360421496</v>
      </c>
      <c r="I28" s="470">
        <f>'Predial y Agua'!G28</f>
        <v>45690433</v>
      </c>
      <c r="J28" s="442">
        <f t="shared" si="2"/>
        <v>5.7427652470587471</v>
      </c>
      <c r="K28" s="172">
        <f>((Datos!K$24*0.7)*(0.5))*FFM!J28%</f>
        <v>1831180.5140274407</v>
      </c>
      <c r="L28" s="471">
        <f t="shared" si="3"/>
        <v>3514720.8744489364</v>
      </c>
      <c r="M28" s="470">
        <v>0</v>
      </c>
      <c r="N28" s="442">
        <v>0</v>
      </c>
      <c r="O28" s="471">
        <v>0</v>
      </c>
      <c r="P28" s="134">
        <f t="shared" si="4"/>
        <v>3514720.8744489364</v>
      </c>
      <c r="Q28" s="120">
        <f t="shared" si="5"/>
        <v>16921400.738448936</v>
      </c>
      <c r="R28" s="94">
        <f t="shared" si="1"/>
        <v>11.022516205409348</v>
      </c>
      <c r="S28" s="94">
        <f t="shared" si="6"/>
        <v>5.5112581027046739</v>
      </c>
      <c r="T28" s="94">
        <v>5.1532229999999997</v>
      </c>
      <c r="U28" s="130">
        <f t="shared" si="7"/>
        <v>0.3580351027046742</v>
      </c>
      <c r="V28" s="94">
        <f t="shared" si="8"/>
        <v>0</v>
      </c>
      <c r="X28" s="94">
        <f t="shared" si="9"/>
        <v>0</v>
      </c>
      <c r="Y28" s="131">
        <v>6.9632639999999997</v>
      </c>
      <c r="Z28" s="132">
        <f t="shared" si="10"/>
        <v>-1.4520058972953258</v>
      </c>
      <c r="AA28" s="131"/>
      <c r="AB28" s="131"/>
      <c r="AG28" s="123">
        <f t="shared" si="11"/>
        <v>11.022516205409348</v>
      </c>
      <c r="AH28" s="123">
        <f t="shared" si="12"/>
        <v>5.5112581027046739</v>
      </c>
    </row>
    <row r="29" spans="2:34" ht="15.75" thickBot="1" x14ac:dyDescent="0.3">
      <c r="B29" s="939" t="s">
        <v>66</v>
      </c>
      <c r="C29" s="940"/>
      <c r="D29" s="509">
        <f>SUM(D9:D28)</f>
        <v>100</v>
      </c>
      <c r="E29" s="379">
        <f>SUM(E9:E28)</f>
        <v>432473544.00000006</v>
      </c>
      <c r="F29" s="507">
        <f>SUM(F9:F28)</f>
        <v>1235456</v>
      </c>
      <c r="G29" s="377">
        <f t="shared" si="0"/>
        <v>100</v>
      </c>
      <c r="H29" s="136">
        <f>SUM(H9:H28)</f>
        <v>31886738.099999998</v>
      </c>
      <c r="I29" s="136">
        <f>SUM(I9:I28)</f>
        <v>795617286</v>
      </c>
      <c r="J29" s="377">
        <f>I29/I$29*100</f>
        <v>100</v>
      </c>
      <c r="K29" s="136">
        <f>SUM(K9:K28)</f>
        <v>31886738.099999998</v>
      </c>
      <c r="L29" s="379">
        <f>SUM(L9:L28)</f>
        <v>63773476.199999988</v>
      </c>
      <c r="M29" s="507">
        <f>SUM(M9:M28)</f>
        <v>7189954</v>
      </c>
      <c r="N29" s="377">
        <f>SUM(N9:N28)</f>
        <v>100</v>
      </c>
      <c r="O29" s="136">
        <f>(Datos!K24-FFM!H29-FFM!K$29)*FFM!N29%</f>
        <v>27331489.800000008</v>
      </c>
      <c r="P29" s="378">
        <f>SUM(P9:P28)</f>
        <v>91104966.000000015</v>
      </c>
      <c r="Q29" s="379">
        <f>SUM(Q9:Q28)</f>
        <v>523578509.99999994</v>
      </c>
      <c r="R29" s="123">
        <f>SUM(R9:R28)</f>
        <v>199.99999999999997</v>
      </c>
      <c r="S29" s="123">
        <f t="shared" si="6"/>
        <v>99.999999999999986</v>
      </c>
      <c r="T29" s="123">
        <f>SUM(T9:T28)</f>
        <v>100.000001</v>
      </c>
      <c r="U29" s="123">
        <f>SUM(U9:U28)</f>
        <v>7.3764985460380128E-2</v>
      </c>
      <c r="V29" s="123">
        <f>SUM(V9:V28)</f>
        <v>100</v>
      </c>
      <c r="W29" s="123">
        <f t="shared" ref="W29:X29" si="14">SUM(W9:W28)</f>
        <v>99.999999000000003</v>
      </c>
      <c r="X29" s="123">
        <f t="shared" si="14"/>
        <v>1.0000000010279564E-6</v>
      </c>
      <c r="Y29" s="125">
        <f>SUM(Y9:Y28)</f>
        <v>140.00000000000003</v>
      </c>
      <c r="Z29" s="125">
        <f t="shared" ref="Z29:AB29" si="15">SUM(Z9:Z28)</f>
        <v>-40</v>
      </c>
      <c r="AA29" s="125">
        <f t="shared" si="15"/>
        <v>99.999999000000003</v>
      </c>
      <c r="AB29" s="125">
        <f t="shared" si="15"/>
        <v>1.7763568394002505E-15</v>
      </c>
      <c r="AG29" s="123">
        <f t="shared" si="11"/>
        <v>200</v>
      </c>
      <c r="AH29">
        <f t="shared" si="12"/>
        <v>100</v>
      </c>
    </row>
    <row r="30" spans="2:34" x14ac:dyDescent="0.25">
      <c r="B30" s="941" t="s">
        <v>297</v>
      </c>
      <c r="C30" s="941"/>
      <c r="D30" s="941"/>
      <c r="E30" s="941"/>
      <c r="F30" s="941"/>
      <c r="G30" s="941"/>
      <c r="H30" s="941"/>
      <c r="I30" s="941"/>
      <c r="J30" s="941"/>
      <c r="K30" s="941"/>
      <c r="L30" s="941"/>
      <c r="M30" s="941"/>
      <c r="N30" s="941"/>
      <c r="O30" s="941"/>
      <c r="P30" s="941"/>
      <c r="Q30" s="941"/>
      <c r="R30" s="9"/>
      <c r="S30" s="9"/>
      <c r="T30" s="9"/>
      <c r="U30" s="9"/>
    </row>
    <row r="31" spans="2:34" x14ac:dyDescent="0.25">
      <c r="C31" s="735" t="s">
        <v>296</v>
      </c>
      <c r="D31" s="76"/>
      <c r="E31" s="9"/>
      <c r="F31" s="9"/>
      <c r="G31" s="9"/>
      <c r="H31" s="736"/>
      <c r="I31" s="9"/>
      <c r="J31" s="9"/>
      <c r="K31" s="102"/>
      <c r="L31" s="102"/>
      <c r="M31" s="737"/>
      <c r="N31" s="737"/>
      <c r="O31" s="738"/>
      <c r="P31" s="9"/>
      <c r="Q31" s="9"/>
      <c r="R31" s="9"/>
      <c r="S31" s="9"/>
      <c r="T31" s="9"/>
      <c r="U31" s="9"/>
    </row>
    <row r="32" spans="2:34" ht="27" customHeight="1" x14ac:dyDescent="0.25">
      <c r="C32" s="942" t="s">
        <v>426</v>
      </c>
      <c r="D32" s="942"/>
      <c r="E32" s="942"/>
      <c r="F32" s="942"/>
      <c r="G32" s="942"/>
      <c r="H32" s="942"/>
      <c r="I32" s="942"/>
      <c r="J32" s="942"/>
      <c r="K32" s="942"/>
      <c r="L32" s="942"/>
      <c r="M32" s="942"/>
      <c r="N32" s="942"/>
      <c r="O32" s="942"/>
      <c r="P32" s="942"/>
      <c r="Q32" s="942"/>
      <c r="R32" s="734"/>
      <c r="S32" s="734"/>
      <c r="T32" s="734"/>
      <c r="U32" s="734"/>
    </row>
    <row r="33" spans="3:21" x14ac:dyDescent="0.25">
      <c r="C33" s="922" t="s">
        <v>428</v>
      </c>
      <c r="D33" s="922"/>
      <c r="E33" s="922"/>
      <c r="F33" s="922"/>
      <c r="G33" s="922"/>
      <c r="H33" s="922"/>
      <c r="I33" s="922"/>
      <c r="J33" s="922"/>
      <c r="K33" s="922"/>
      <c r="L33" s="922"/>
      <c r="M33" s="922"/>
      <c r="N33" s="922"/>
      <c r="O33" s="922"/>
      <c r="P33" s="922"/>
      <c r="Q33" s="922"/>
      <c r="R33" s="922"/>
      <c r="S33" s="922"/>
      <c r="T33" s="922"/>
      <c r="U33" s="922"/>
    </row>
    <row r="34" spans="3:21" ht="15" hidden="1" customHeight="1" x14ac:dyDescent="0.25">
      <c r="C34" s="922" t="s">
        <v>298</v>
      </c>
      <c r="D34" s="922"/>
      <c r="E34" s="922"/>
      <c r="F34" s="922"/>
      <c r="G34" s="922"/>
      <c r="H34" s="922"/>
      <c r="I34" s="922"/>
      <c r="J34" s="922"/>
      <c r="K34" s="922"/>
      <c r="L34" s="922"/>
      <c r="M34" s="922"/>
      <c r="N34" s="922"/>
      <c r="O34" s="922"/>
      <c r="P34" s="922"/>
      <c r="Q34" s="922"/>
      <c r="R34" s="922"/>
      <c r="S34" s="922"/>
      <c r="T34" s="922"/>
      <c r="U34" s="922"/>
    </row>
    <row r="35" spans="3:21" hidden="1" x14ac:dyDescent="0.25">
      <c r="C35" s="734"/>
      <c r="D35" s="734"/>
      <c r="E35" s="734"/>
      <c r="F35" s="734"/>
      <c r="G35" s="734"/>
      <c r="H35" s="734"/>
      <c r="I35" s="734"/>
      <c r="J35" s="734"/>
      <c r="K35" s="739"/>
      <c r="L35" s="739"/>
      <c r="M35" s="734"/>
      <c r="N35" s="734"/>
      <c r="O35" s="739"/>
      <c r="P35" s="734"/>
      <c r="Q35" s="734"/>
      <c r="R35" s="734"/>
      <c r="S35" s="734"/>
      <c r="T35" s="734"/>
      <c r="U35" s="734"/>
    </row>
    <row r="36" spans="3:21" hidden="1" x14ac:dyDescent="0.25">
      <c r="C36" s="924" t="s">
        <v>84</v>
      </c>
      <c r="D36" s="740" t="s">
        <v>85</v>
      </c>
      <c r="E36" s="740" t="s">
        <v>21</v>
      </c>
      <c r="F36" s="740" t="s">
        <v>118</v>
      </c>
      <c r="G36" s="741" t="s">
        <v>119</v>
      </c>
      <c r="H36" s="741" t="s">
        <v>83</v>
      </c>
      <c r="I36" s="740" t="s">
        <v>120</v>
      </c>
      <c r="J36" s="740" t="s">
        <v>121</v>
      </c>
      <c r="K36" s="739"/>
      <c r="L36" s="739"/>
      <c r="M36" s="734"/>
      <c r="N36" s="734"/>
      <c r="O36" s="739"/>
      <c r="P36" s="734"/>
      <c r="Q36" s="734"/>
      <c r="R36" s="734"/>
      <c r="S36" s="734"/>
      <c r="T36" s="734"/>
      <c r="U36" s="734"/>
    </row>
    <row r="37" spans="3:21" hidden="1" x14ac:dyDescent="0.25">
      <c r="C37" s="925"/>
      <c r="D37" s="742" t="s">
        <v>90</v>
      </c>
      <c r="E37" s="742" t="s">
        <v>31</v>
      </c>
      <c r="F37" s="742" t="s">
        <v>122</v>
      </c>
      <c r="G37" s="743" t="s">
        <v>123</v>
      </c>
      <c r="H37" s="743" t="s">
        <v>124</v>
      </c>
      <c r="I37" s="742" t="s">
        <v>125</v>
      </c>
      <c r="J37" s="742" t="s">
        <v>126</v>
      </c>
      <c r="K37" s="739"/>
      <c r="L37" s="739"/>
      <c r="M37" s="734"/>
      <c r="N37" s="734"/>
      <c r="O37" s="739"/>
      <c r="P37" s="734"/>
      <c r="Q37" s="734"/>
      <c r="R37" s="734"/>
      <c r="S37" s="734"/>
      <c r="T37" s="734"/>
      <c r="U37" s="734"/>
    </row>
    <row r="38" spans="3:21" hidden="1" x14ac:dyDescent="0.25">
      <c r="C38" s="925"/>
      <c r="D38" s="744">
        <v>2014</v>
      </c>
      <c r="E38" s="744" t="s">
        <v>127</v>
      </c>
      <c r="F38" s="744" t="s">
        <v>128</v>
      </c>
      <c r="G38" s="743" t="s">
        <v>129</v>
      </c>
      <c r="H38" s="743" t="s">
        <v>130</v>
      </c>
      <c r="I38" s="742">
        <v>2014</v>
      </c>
      <c r="J38" s="742" t="s">
        <v>131</v>
      </c>
      <c r="K38" s="739"/>
      <c r="L38" s="739"/>
      <c r="M38" s="734"/>
      <c r="N38" s="734"/>
      <c r="O38" s="739"/>
      <c r="P38" s="734"/>
      <c r="Q38" s="734"/>
      <c r="R38" s="734"/>
      <c r="S38" s="734"/>
      <c r="T38" s="734"/>
      <c r="U38" s="734"/>
    </row>
    <row r="39" spans="3:21" hidden="1" x14ac:dyDescent="0.25">
      <c r="C39" s="926"/>
      <c r="D39" s="745" t="s">
        <v>71</v>
      </c>
      <c r="E39" s="745" t="s">
        <v>98</v>
      </c>
      <c r="F39" s="745" t="s">
        <v>72</v>
      </c>
      <c r="G39" s="745" t="s">
        <v>99</v>
      </c>
      <c r="H39" s="745" t="s">
        <v>74</v>
      </c>
      <c r="I39" s="745" t="s">
        <v>132</v>
      </c>
      <c r="J39" s="745" t="s">
        <v>75</v>
      </c>
      <c r="K39" s="739"/>
      <c r="L39" s="739"/>
      <c r="M39" s="734"/>
      <c r="N39" s="734"/>
      <c r="O39" s="739"/>
      <c r="P39" s="734"/>
      <c r="Q39" s="734"/>
      <c r="R39" s="734"/>
      <c r="S39" s="734"/>
      <c r="T39" s="734"/>
      <c r="U39" s="734"/>
    </row>
    <row r="40" spans="3:21" hidden="1" x14ac:dyDescent="0.25">
      <c r="C40" s="746" t="s">
        <v>46</v>
      </c>
      <c r="D40" s="747">
        <v>3.62</v>
      </c>
      <c r="E40" s="748">
        <f>[1]Datos!K$23*FFM!D40%</f>
        <v>15655542.292800002</v>
      </c>
      <c r="F40" s="749">
        <f>E40*0.7</f>
        <v>10958879.60496</v>
      </c>
      <c r="G40" s="749">
        <f t="shared" ref="G40:G60" si="16">H9+K9</f>
        <v>1415347.9052387243</v>
      </c>
      <c r="H40" s="749">
        <f t="shared" ref="H40:H60" si="17">E40+G40</f>
        <v>17070890.198038727</v>
      </c>
      <c r="I40" s="749">
        <f>F40+G40</f>
        <v>12374227.510198724</v>
      </c>
      <c r="J40" s="750">
        <f>H40-I40</f>
        <v>4696662.6878400035</v>
      </c>
      <c r="K40" s="739"/>
      <c r="L40" s="739"/>
      <c r="M40" s="734"/>
      <c r="N40" s="734"/>
      <c r="O40" s="739"/>
      <c r="P40" s="734"/>
      <c r="Q40" s="734"/>
      <c r="R40" s="734"/>
      <c r="S40" s="734"/>
      <c r="T40" s="734"/>
      <c r="U40" s="734"/>
    </row>
    <row r="41" spans="3:21" hidden="1" x14ac:dyDescent="0.25">
      <c r="C41" s="751" t="s">
        <v>47</v>
      </c>
      <c r="D41" s="752">
        <v>2.4700000000000002</v>
      </c>
      <c r="E41" s="753">
        <f>[1]Datos!K$23*FFM!D41%</f>
        <v>10682096.536800001</v>
      </c>
      <c r="F41" s="749">
        <f t="shared" ref="F41:F60" si="18">E41*0.7</f>
        <v>7477467.5757600004</v>
      </c>
      <c r="G41" s="749">
        <f t="shared" si="16"/>
        <v>576699.96654844913</v>
      </c>
      <c r="H41" s="749">
        <f t="shared" si="17"/>
        <v>11258796.503348449</v>
      </c>
      <c r="I41" s="749">
        <f t="shared" ref="I41:I59" si="19">F41+G41</f>
        <v>8054167.5423084497</v>
      </c>
      <c r="J41" s="750">
        <f t="shared" ref="J41:J59" si="20">H41-I41</f>
        <v>3204628.9610399995</v>
      </c>
      <c r="K41" s="739"/>
      <c r="L41" s="739"/>
      <c r="M41" s="734"/>
      <c r="N41" s="734"/>
      <c r="O41" s="739"/>
      <c r="P41" s="734"/>
      <c r="Q41" s="734"/>
      <c r="R41" s="734"/>
      <c r="S41" s="734"/>
      <c r="T41" s="734"/>
      <c r="U41" s="734"/>
    </row>
    <row r="42" spans="3:21" hidden="1" x14ac:dyDescent="0.25">
      <c r="C42" s="751" t="s">
        <v>48</v>
      </c>
      <c r="D42" s="752">
        <v>2.33</v>
      </c>
      <c r="E42" s="753">
        <f>[1]Datos!K$23*FFM!D42%</f>
        <v>10076633.575200001</v>
      </c>
      <c r="F42" s="749">
        <f t="shared" si="18"/>
        <v>7053643.5026400005</v>
      </c>
      <c r="G42" s="749">
        <f t="shared" si="16"/>
        <v>419982.82446645625</v>
      </c>
      <c r="H42" s="749">
        <f t="shared" si="17"/>
        <v>10496616.399666457</v>
      </c>
      <c r="I42" s="749">
        <f t="shared" si="19"/>
        <v>7473626.3271064572</v>
      </c>
      <c r="J42" s="750">
        <f t="shared" si="20"/>
        <v>3022990.0725599993</v>
      </c>
      <c r="K42" s="739"/>
      <c r="L42" s="739"/>
      <c r="M42" s="734"/>
      <c r="N42" s="734"/>
      <c r="O42" s="739"/>
      <c r="P42" s="734"/>
      <c r="Q42" s="734"/>
      <c r="R42" s="734"/>
      <c r="S42" s="734"/>
      <c r="T42" s="734"/>
      <c r="U42" s="734"/>
    </row>
    <row r="43" spans="3:21" hidden="1" x14ac:dyDescent="0.25">
      <c r="C43" s="751" t="s">
        <v>49</v>
      </c>
      <c r="D43" s="752">
        <v>2.81</v>
      </c>
      <c r="E43" s="753">
        <f>[1]Datos!K$23*FFM!D43%</f>
        <v>12152506.5864</v>
      </c>
      <c r="F43" s="749">
        <f t="shared" si="18"/>
        <v>8506754.6104799993</v>
      </c>
      <c r="G43" s="749">
        <f t="shared" si="16"/>
        <v>17813934.42605393</v>
      </c>
      <c r="H43" s="749">
        <f t="shared" si="17"/>
        <v>29966441.012453929</v>
      </c>
      <c r="I43" s="749">
        <f t="shared" si="19"/>
        <v>26320689.036533929</v>
      </c>
      <c r="J43" s="750">
        <f t="shared" si="20"/>
        <v>3645751.9759199992</v>
      </c>
      <c r="K43" s="739"/>
      <c r="L43" s="739"/>
      <c r="M43" s="749"/>
      <c r="N43" s="734"/>
      <c r="O43" s="739"/>
      <c r="P43" s="734"/>
      <c r="Q43" s="734"/>
      <c r="R43" s="734"/>
      <c r="S43" s="734"/>
      <c r="T43" s="734"/>
      <c r="U43" s="734"/>
    </row>
    <row r="44" spans="3:21" hidden="1" x14ac:dyDescent="0.25">
      <c r="C44" s="751" t="s">
        <v>50</v>
      </c>
      <c r="D44" s="752">
        <v>4.6399999999999997</v>
      </c>
      <c r="E44" s="753">
        <f>[1]Datos!K$23*FFM!D44%</f>
        <v>20066772.441599999</v>
      </c>
      <c r="F44" s="749">
        <f t="shared" si="18"/>
        <v>14046740.709119998</v>
      </c>
      <c r="G44" s="749">
        <f t="shared" si="16"/>
        <v>4403685.3889322616</v>
      </c>
      <c r="H44" s="749">
        <f t="shared" si="17"/>
        <v>24470457.83053226</v>
      </c>
      <c r="I44" s="749">
        <f t="shared" si="19"/>
        <v>18450426.09805226</v>
      </c>
      <c r="J44" s="750">
        <f t="shared" si="20"/>
        <v>6020031.7324800007</v>
      </c>
      <c r="K44" s="739"/>
      <c r="L44" s="739"/>
      <c r="M44" s="749"/>
      <c r="N44" s="734"/>
      <c r="O44" s="739"/>
      <c r="P44" s="734"/>
      <c r="Q44" s="734"/>
      <c r="R44" s="734"/>
      <c r="S44" s="734"/>
      <c r="T44" s="734"/>
      <c r="U44" s="734"/>
    </row>
    <row r="45" spans="3:21" hidden="1" x14ac:dyDescent="0.25">
      <c r="C45" s="751" t="s">
        <v>51</v>
      </c>
      <c r="D45" s="752">
        <v>1.5</v>
      </c>
      <c r="E45" s="753">
        <f>[1]Datos!K$23*FFM!D45%</f>
        <v>6487103.1600000001</v>
      </c>
      <c r="F45" s="749">
        <f t="shared" si="18"/>
        <v>4540972.2119999994</v>
      </c>
      <c r="G45" s="749">
        <f t="shared" si="16"/>
        <v>1231029.2583809488</v>
      </c>
      <c r="H45" s="749">
        <f t="shared" si="17"/>
        <v>7718132.4183809487</v>
      </c>
      <c r="I45" s="749">
        <f t="shared" si="19"/>
        <v>5772001.4703809479</v>
      </c>
      <c r="J45" s="750">
        <f t="shared" si="20"/>
        <v>1946130.9480000008</v>
      </c>
      <c r="K45" s="739"/>
      <c r="L45" s="739"/>
      <c r="M45" s="749"/>
      <c r="N45" s="734"/>
      <c r="O45" s="739"/>
      <c r="P45" s="734"/>
      <c r="Q45" s="734"/>
      <c r="R45" s="734"/>
      <c r="S45" s="734"/>
      <c r="T45" s="734"/>
      <c r="U45" s="734"/>
    </row>
    <row r="46" spans="3:21" hidden="1" x14ac:dyDescent="0.25">
      <c r="C46" s="751" t="s">
        <v>52</v>
      </c>
      <c r="D46" s="752">
        <v>1.53</v>
      </c>
      <c r="E46" s="753">
        <f>[1]Datos!K$23*FFM!D46%</f>
        <v>6616845.2232000008</v>
      </c>
      <c r="F46" s="749">
        <f t="shared" si="18"/>
        <v>4631791.6562400004</v>
      </c>
      <c r="G46" s="749">
        <f t="shared" si="16"/>
        <v>319643.61187511461</v>
      </c>
      <c r="H46" s="749">
        <f t="shared" si="17"/>
        <v>6936488.8350751158</v>
      </c>
      <c r="I46" s="749">
        <f t="shared" si="19"/>
        <v>4951435.2681151154</v>
      </c>
      <c r="J46" s="750">
        <f t="shared" si="20"/>
        <v>1985053.5669600004</v>
      </c>
      <c r="K46" s="739"/>
      <c r="L46" s="739"/>
      <c r="M46" s="734"/>
      <c r="N46" s="734"/>
      <c r="O46" s="739"/>
      <c r="P46" s="734"/>
      <c r="Q46" s="734"/>
      <c r="R46" s="734"/>
      <c r="S46" s="734"/>
      <c r="T46" s="734"/>
      <c r="U46" s="734"/>
    </row>
    <row r="47" spans="3:21" hidden="1" x14ac:dyDescent="0.25">
      <c r="C47" s="751" t="s">
        <v>53</v>
      </c>
      <c r="D47" s="752">
        <v>3.16</v>
      </c>
      <c r="E47" s="753">
        <f>[1]Datos!K$23*FFM!D47%</f>
        <v>13666163.990400001</v>
      </c>
      <c r="F47" s="749">
        <f t="shared" si="18"/>
        <v>9566314.7932799999</v>
      </c>
      <c r="G47" s="749">
        <f t="shared" si="16"/>
        <v>1232473.9073244974</v>
      </c>
      <c r="H47" s="749">
        <f t="shared" si="17"/>
        <v>14898637.897724498</v>
      </c>
      <c r="I47" s="749">
        <f t="shared" si="19"/>
        <v>10798788.700604497</v>
      </c>
      <c r="J47" s="750">
        <f t="shared" si="20"/>
        <v>4099849.1971200015</v>
      </c>
      <c r="K47" s="739"/>
      <c r="L47" s="739"/>
      <c r="M47" s="734"/>
      <c r="N47" s="734"/>
      <c r="O47" s="739"/>
      <c r="P47" s="734"/>
      <c r="Q47" s="734"/>
      <c r="R47" s="734"/>
      <c r="S47" s="734"/>
      <c r="T47" s="734"/>
      <c r="U47" s="734"/>
    </row>
    <row r="48" spans="3:21" hidden="1" x14ac:dyDescent="0.25">
      <c r="C48" s="751" t="s">
        <v>54</v>
      </c>
      <c r="D48" s="752">
        <v>2.81</v>
      </c>
      <c r="E48" s="753">
        <f>[1]Datos!K$23*FFM!D48%</f>
        <v>12152506.5864</v>
      </c>
      <c r="F48" s="749">
        <f t="shared" si="18"/>
        <v>8506754.6104799993</v>
      </c>
      <c r="G48" s="749">
        <f t="shared" si="16"/>
        <v>670636.95050489693</v>
      </c>
      <c r="H48" s="749">
        <f t="shared" si="17"/>
        <v>12823143.536904898</v>
      </c>
      <c r="I48" s="749">
        <f t="shared" si="19"/>
        <v>9177391.5609848965</v>
      </c>
      <c r="J48" s="750">
        <f t="shared" si="20"/>
        <v>3645751.975920001</v>
      </c>
      <c r="K48" s="739"/>
      <c r="L48" s="739"/>
      <c r="M48" s="734"/>
      <c r="N48" s="734"/>
      <c r="O48" s="739"/>
      <c r="P48" s="734"/>
      <c r="Q48" s="734"/>
      <c r="R48" s="734"/>
      <c r="S48" s="734"/>
      <c r="T48" s="734"/>
      <c r="U48" s="734"/>
    </row>
    <row r="49" spans="2:21" hidden="1" x14ac:dyDescent="0.25">
      <c r="C49" s="751" t="s">
        <v>55</v>
      </c>
      <c r="D49" s="752">
        <v>1.6</v>
      </c>
      <c r="E49" s="753">
        <f>[1]Datos!K$23*FFM!D49%</f>
        <v>6919576.7039999999</v>
      </c>
      <c r="F49" s="749">
        <f t="shared" si="18"/>
        <v>4843703.6927999994</v>
      </c>
      <c r="G49" s="749">
        <f t="shared" si="16"/>
        <v>376569.63153818145</v>
      </c>
      <c r="H49" s="749">
        <f t="shared" si="17"/>
        <v>7296146.3355381815</v>
      </c>
      <c r="I49" s="749">
        <f t="shared" si="19"/>
        <v>5220273.3243381809</v>
      </c>
      <c r="J49" s="750">
        <f t="shared" si="20"/>
        <v>2075873.0112000005</v>
      </c>
      <c r="K49" s="739"/>
      <c r="L49" s="739"/>
      <c r="M49" s="734"/>
      <c r="N49" s="734"/>
      <c r="O49" s="739"/>
      <c r="P49" s="734"/>
      <c r="Q49" s="734"/>
      <c r="R49" s="734"/>
      <c r="S49" s="734"/>
      <c r="T49" s="734"/>
      <c r="U49" s="734"/>
    </row>
    <row r="50" spans="2:21" hidden="1" x14ac:dyDescent="0.25">
      <c r="C50" s="751" t="s">
        <v>56</v>
      </c>
      <c r="D50" s="752">
        <v>2.84</v>
      </c>
      <c r="E50" s="753">
        <f>[1]Datos!K$23*FFM!D50%</f>
        <v>12282248.649599999</v>
      </c>
      <c r="F50" s="749">
        <f t="shared" si="18"/>
        <v>8597574.0547199994</v>
      </c>
      <c r="G50" s="749">
        <f t="shared" si="16"/>
        <v>967431.87334971898</v>
      </c>
      <c r="H50" s="749">
        <f t="shared" si="17"/>
        <v>13249680.522949718</v>
      </c>
      <c r="I50" s="749">
        <f t="shared" si="19"/>
        <v>9565005.9280697182</v>
      </c>
      <c r="J50" s="750">
        <f t="shared" si="20"/>
        <v>3684674.5948799998</v>
      </c>
      <c r="K50" s="739"/>
      <c r="L50" s="739"/>
      <c r="M50" s="734"/>
      <c r="N50" s="734"/>
      <c r="O50" s="739"/>
      <c r="P50" s="734"/>
      <c r="Q50" s="734"/>
      <c r="R50" s="734"/>
      <c r="S50" s="734"/>
      <c r="T50" s="734"/>
      <c r="U50" s="734"/>
    </row>
    <row r="51" spans="2:21" hidden="1" x14ac:dyDescent="0.25">
      <c r="C51" s="751" t="s">
        <v>57</v>
      </c>
      <c r="D51" s="752">
        <v>3.33</v>
      </c>
      <c r="E51" s="753">
        <f>[1]Datos!K$23*FFM!D51%</f>
        <v>14401369.015200002</v>
      </c>
      <c r="F51" s="749">
        <f t="shared" si="18"/>
        <v>10080958.310640002</v>
      </c>
      <c r="G51" s="749">
        <f t="shared" si="16"/>
        <v>759119.43170761748</v>
      </c>
      <c r="H51" s="749">
        <f t="shared" si="17"/>
        <v>15160488.446907619</v>
      </c>
      <c r="I51" s="749">
        <f t="shared" si="19"/>
        <v>10840077.742347619</v>
      </c>
      <c r="J51" s="750">
        <f t="shared" si="20"/>
        <v>4320410.7045600004</v>
      </c>
      <c r="K51" s="739"/>
      <c r="L51" s="739"/>
      <c r="M51" s="734"/>
      <c r="N51" s="734"/>
      <c r="O51" s="739"/>
      <c r="P51" s="734"/>
      <c r="Q51" s="734"/>
      <c r="R51" s="734"/>
      <c r="S51" s="734"/>
      <c r="T51" s="734"/>
      <c r="U51" s="734"/>
    </row>
    <row r="52" spans="2:21" hidden="1" x14ac:dyDescent="0.25">
      <c r="C52" s="751" t="s">
        <v>58</v>
      </c>
      <c r="D52" s="752">
        <v>4.6900000000000004</v>
      </c>
      <c r="E52" s="753">
        <f>[1]Datos!K$23*FFM!D52%</f>
        <v>20283009.213600002</v>
      </c>
      <c r="F52" s="749">
        <f t="shared" si="18"/>
        <v>14198106.449520001</v>
      </c>
      <c r="G52" s="749">
        <f t="shared" si="16"/>
        <v>1280349.266049888</v>
      </c>
      <c r="H52" s="749">
        <f t="shared" si="17"/>
        <v>21563358.47964989</v>
      </c>
      <c r="I52" s="749">
        <f t="shared" si="19"/>
        <v>15478455.715569889</v>
      </c>
      <c r="J52" s="750">
        <f t="shared" si="20"/>
        <v>6084902.764080001</v>
      </c>
      <c r="K52" s="739"/>
      <c r="L52" s="739"/>
      <c r="M52" s="734"/>
      <c r="N52" s="734"/>
      <c r="O52" s="739"/>
      <c r="P52" s="734"/>
      <c r="Q52" s="734"/>
      <c r="R52" s="734"/>
      <c r="S52" s="734"/>
      <c r="T52" s="734"/>
      <c r="U52" s="734"/>
    </row>
    <row r="53" spans="2:21" hidden="1" x14ac:dyDescent="0.25">
      <c r="C53" s="751" t="s">
        <v>59</v>
      </c>
      <c r="D53" s="752">
        <v>2.13</v>
      </c>
      <c r="E53" s="753">
        <f>[1]Datos!K$23*FFM!D53%</f>
        <v>9211686.4871999994</v>
      </c>
      <c r="F53" s="749">
        <f t="shared" si="18"/>
        <v>6448180.5410399996</v>
      </c>
      <c r="G53" s="749">
        <f t="shared" si="16"/>
        <v>281990.07503514993</v>
      </c>
      <c r="H53" s="749">
        <f t="shared" si="17"/>
        <v>9493676.5622351486</v>
      </c>
      <c r="I53" s="749">
        <f t="shared" si="19"/>
        <v>6730170.6160751497</v>
      </c>
      <c r="J53" s="750">
        <f t="shared" si="20"/>
        <v>2763505.9461599989</v>
      </c>
      <c r="K53" s="739"/>
      <c r="L53" s="739"/>
      <c r="M53" s="734"/>
      <c r="N53" s="734"/>
      <c r="O53" s="739"/>
      <c r="P53" s="734"/>
      <c r="Q53" s="734"/>
      <c r="R53" s="734"/>
      <c r="S53" s="734"/>
      <c r="T53" s="734"/>
      <c r="U53" s="734"/>
    </row>
    <row r="54" spans="2:21" hidden="1" x14ac:dyDescent="0.25">
      <c r="C54" s="751" t="s">
        <v>60</v>
      </c>
      <c r="D54" s="752">
        <v>2.81</v>
      </c>
      <c r="E54" s="753">
        <f>[1]Datos!K$23*FFM!D54%</f>
        <v>12152506.5864</v>
      </c>
      <c r="F54" s="749">
        <f t="shared" si="18"/>
        <v>8506754.6104799993</v>
      </c>
      <c r="G54" s="749">
        <f t="shared" si="16"/>
        <v>755989.90997582732</v>
      </c>
      <c r="H54" s="749">
        <f t="shared" si="17"/>
        <v>12908496.496375827</v>
      </c>
      <c r="I54" s="749">
        <f t="shared" si="19"/>
        <v>9262744.5204558261</v>
      </c>
      <c r="J54" s="750">
        <f t="shared" si="20"/>
        <v>3645751.975920001</v>
      </c>
      <c r="K54" s="739"/>
      <c r="L54" s="739"/>
      <c r="M54" s="734"/>
      <c r="N54" s="734"/>
      <c r="O54" s="739"/>
      <c r="P54" s="734"/>
      <c r="Q54" s="734"/>
      <c r="R54" s="734"/>
      <c r="S54" s="734"/>
      <c r="T54" s="734"/>
      <c r="U54" s="734"/>
    </row>
    <row r="55" spans="2:21" hidden="1" x14ac:dyDescent="0.25">
      <c r="C55" s="751" t="s">
        <v>61</v>
      </c>
      <c r="D55" s="752">
        <v>8.34</v>
      </c>
      <c r="E55" s="753">
        <f>[1]Datos!K$23*FFM!D55%</f>
        <v>36068293.569600001</v>
      </c>
      <c r="F55" s="749">
        <f t="shared" si="18"/>
        <v>25247805.498719998</v>
      </c>
      <c r="G55" s="749">
        <f t="shared" si="16"/>
        <v>3140770.8593625752</v>
      </c>
      <c r="H55" s="749">
        <f t="shared" si="17"/>
        <v>39209064.428962573</v>
      </c>
      <c r="I55" s="749">
        <f t="shared" si="19"/>
        <v>28388576.358082574</v>
      </c>
      <c r="J55" s="750">
        <f t="shared" si="20"/>
        <v>10820488.07088</v>
      </c>
      <c r="K55" s="739"/>
      <c r="L55" s="739"/>
      <c r="M55" s="734"/>
      <c r="N55" s="734"/>
      <c r="O55" s="739"/>
      <c r="P55" s="734"/>
      <c r="Q55" s="734"/>
      <c r="R55" s="734"/>
      <c r="S55" s="734"/>
      <c r="T55" s="734"/>
      <c r="U55" s="734"/>
    </row>
    <row r="56" spans="2:21" hidden="1" x14ac:dyDescent="0.25">
      <c r="C56" s="751" t="s">
        <v>62</v>
      </c>
      <c r="D56" s="752">
        <v>3.5</v>
      </c>
      <c r="E56" s="753">
        <f>[1]Datos!K$23*FFM!D56%</f>
        <v>15136574.040000001</v>
      </c>
      <c r="F56" s="749">
        <f t="shared" si="18"/>
        <v>10595601.828</v>
      </c>
      <c r="G56" s="749">
        <f t="shared" si="16"/>
        <v>1154166.6984464284</v>
      </c>
      <c r="H56" s="749">
        <f t="shared" si="17"/>
        <v>16290740.738446429</v>
      </c>
      <c r="I56" s="749">
        <f t="shared" si="19"/>
        <v>11749768.526446428</v>
      </c>
      <c r="J56" s="750">
        <f t="shared" si="20"/>
        <v>4540972.2120000012</v>
      </c>
      <c r="K56" s="739"/>
      <c r="L56" s="739"/>
      <c r="M56" s="734"/>
      <c r="N56" s="734"/>
      <c r="O56" s="739"/>
      <c r="P56" s="734"/>
      <c r="Q56" s="734"/>
      <c r="R56" s="734"/>
      <c r="S56" s="734"/>
      <c r="T56" s="734"/>
      <c r="U56" s="734"/>
    </row>
    <row r="57" spans="2:21" hidden="1" x14ac:dyDescent="0.25">
      <c r="C57" s="751" t="s">
        <v>63</v>
      </c>
      <c r="D57" s="752">
        <v>39</v>
      </c>
      <c r="E57" s="753">
        <f>[1]Datos!K$23*FFM!D57%</f>
        <v>168664682.16</v>
      </c>
      <c r="F57" s="749">
        <f t="shared" si="18"/>
        <v>118065277.51199999</v>
      </c>
      <c r="G57" s="749">
        <f t="shared" si="16"/>
        <v>22558083.36796914</v>
      </c>
      <c r="H57" s="749">
        <f t="shared" si="17"/>
        <v>191222765.52796912</v>
      </c>
      <c r="I57" s="749">
        <f t="shared" si="19"/>
        <v>140623360.87996912</v>
      </c>
      <c r="J57" s="750">
        <f t="shared" si="20"/>
        <v>50599404.648000002</v>
      </c>
      <c r="K57" s="739"/>
      <c r="L57" s="739"/>
      <c r="M57" s="734"/>
      <c r="N57" s="734"/>
      <c r="O57" s="739"/>
      <c r="P57" s="734"/>
      <c r="Q57" s="734"/>
      <c r="R57" s="734"/>
      <c r="S57" s="734"/>
      <c r="T57" s="734"/>
      <c r="U57" s="734"/>
    </row>
    <row r="58" spans="2:21" hidden="1" x14ac:dyDescent="0.25">
      <c r="C58" s="751" t="s">
        <v>64</v>
      </c>
      <c r="D58" s="752">
        <v>3.79</v>
      </c>
      <c r="E58" s="753">
        <f>[1]Datos!K$23*FFM!D58%</f>
        <v>16390747.317600001</v>
      </c>
      <c r="F58" s="749">
        <f t="shared" si="18"/>
        <v>11473523.12232</v>
      </c>
      <c r="G58" s="749">
        <f t="shared" si="16"/>
        <v>900849.97279124882</v>
      </c>
      <c r="H58" s="749">
        <f t="shared" si="17"/>
        <v>17291597.290391248</v>
      </c>
      <c r="I58" s="749">
        <f t="shared" si="19"/>
        <v>12374373.095111249</v>
      </c>
      <c r="J58" s="750">
        <f t="shared" si="20"/>
        <v>4917224.1952799987</v>
      </c>
      <c r="K58" s="739"/>
      <c r="L58" s="739"/>
      <c r="M58" s="734"/>
      <c r="N58" s="734"/>
      <c r="O58" s="739"/>
      <c r="P58" s="734"/>
      <c r="Q58" s="734"/>
      <c r="R58" s="734"/>
      <c r="S58" s="734"/>
      <c r="T58" s="734"/>
      <c r="U58" s="734"/>
    </row>
    <row r="59" spans="2:21" hidden="1" x14ac:dyDescent="0.25">
      <c r="C59" s="751" t="s">
        <v>65</v>
      </c>
      <c r="D59" s="752">
        <v>3.1</v>
      </c>
      <c r="E59" s="753">
        <f>[1]Datos!K$23*FFM!D59%</f>
        <v>13406679.864</v>
      </c>
      <c r="F59" s="749">
        <f t="shared" si="18"/>
        <v>9384675.9047999997</v>
      </c>
      <c r="G59" s="749">
        <f t="shared" si="16"/>
        <v>3514720.8744489364</v>
      </c>
      <c r="H59" s="749">
        <f t="shared" si="17"/>
        <v>16921400.738448936</v>
      </c>
      <c r="I59" s="749">
        <f t="shared" si="19"/>
        <v>12899396.779248936</v>
      </c>
      <c r="J59" s="750">
        <f t="shared" si="20"/>
        <v>4022003.9592000004</v>
      </c>
      <c r="K59" s="739"/>
      <c r="L59" s="739"/>
      <c r="M59" s="734"/>
      <c r="N59" s="734"/>
      <c r="O59" s="739"/>
      <c r="P59" s="734"/>
      <c r="Q59" s="734"/>
      <c r="R59" s="734"/>
      <c r="S59" s="734"/>
      <c r="T59" s="734"/>
      <c r="U59" s="734"/>
    </row>
    <row r="60" spans="2:21" hidden="1" x14ac:dyDescent="0.25">
      <c r="C60" s="754" t="s">
        <v>66</v>
      </c>
      <c r="D60" s="755">
        <f>SUM(D40:D59)</f>
        <v>100</v>
      </c>
      <c r="E60" s="756">
        <f>SUM(E40:E59)</f>
        <v>432473544.00000006</v>
      </c>
      <c r="F60" s="756">
        <f t="shared" si="18"/>
        <v>302731480.80000001</v>
      </c>
      <c r="G60" s="756">
        <f t="shared" si="16"/>
        <v>63773476.199999996</v>
      </c>
      <c r="H60" s="756">
        <f t="shared" si="17"/>
        <v>496247020.20000005</v>
      </c>
      <c r="I60" s="756">
        <f>SUM(I40:I59)</f>
        <v>366504957</v>
      </c>
      <c r="J60" s="757">
        <v>0</v>
      </c>
      <c r="K60" s="739"/>
      <c r="L60" s="739"/>
      <c r="M60" s="734"/>
      <c r="N60" s="734"/>
      <c r="O60" s="739"/>
      <c r="P60" s="734"/>
      <c r="Q60" s="734"/>
      <c r="R60" s="734"/>
      <c r="S60" s="734"/>
      <c r="T60" s="734"/>
      <c r="U60" s="734"/>
    </row>
    <row r="61" spans="2:21" x14ac:dyDescent="0.25">
      <c r="C61" s="922" t="s">
        <v>427</v>
      </c>
      <c r="D61" s="922"/>
      <c r="E61" s="922"/>
      <c r="F61" s="922"/>
      <c r="G61" s="922"/>
      <c r="H61" s="922"/>
      <c r="I61" s="922"/>
      <c r="J61" s="922"/>
      <c r="K61" s="922"/>
      <c r="L61" s="922"/>
      <c r="M61" s="922"/>
      <c r="N61" s="922"/>
      <c r="O61" s="922"/>
      <c r="P61" s="922"/>
      <c r="Q61" s="922"/>
      <c r="R61" s="922"/>
      <c r="S61" s="922"/>
      <c r="T61" s="922"/>
      <c r="U61" s="922"/>
    </row>
    <row r="62" spans="2:21" ht="15" customHeight="1" x14ac:dyDescent="0.25">
      <c r="C62" s="923"/>
      <c r="D62" s="923"/>
      <c r="E62" s="923"/>
      <c r="F62" s="923"/>
      <c r="G62" s="923"/>
      <c r="H62" s="923"/>
      <c r="I62" s="923"/>
      <c r="J62" s="923"/>
      <c r="K62" s="923"/>
      <c r="L62" s="923"/>
      <c r="M62" s="923"/>
      <c r="N62" s="923"/>
      <c r="O62" s="923"/>
      <c r="P62" s="923"/>
      <c r="Q62" s="923"/>
      <c r="R62" s="923"/>
      <c r="S62" s="923"/>
      <c r="T62" s="923"/>
      <c r="U62" s="923"/>
    </row>
    <row r="63" spans="2:21" x14ac:dyDescent="0.25">
      <c r="B63" s="536"/>
      <c r="C63" s="538"/>
      <c r="D63" s="539"/>
      <c r="E63" s="538"/>
      <c r="F63" s="538"/>
      <c r="G63" s="538"/>
      <c r="H63" s="540"/>
      <c r="I63" s="538"/>
      <c r="J63" s="538"/>
      <c r="K63" s="540"/>
      <c r="L63" s="540"/>
      <c r="M63" s="538"/>
      <c r="N63" s="538"/>
      <c r="O63" s="540"/>
      <c r="P63" s="538"/>
      <c r="Q63" s="538"/>
    </row>
    <row r="64" spans="2:21" x14ac:dyDescent="0.25">
      <c r="B64" s="536"/>
      <c r="C64" s="538"/>
      <c r="D64" s="539"/>
      <c r="E64" s="538"/>
      <c r="F64" s="538"/>
      <c r="G64" s="538"/>
      <c r="H64" s="540"/>
      <c r="I64" s="538"/>
      <c r="J64" s="538"/>
      <c r="K64" s="540"/>
      <c r="L64" s="540"/>
      <c r="M64" s="538"/>
      <c r="N64" s="538"/>
      <c r="O64" s="540"/>
      <c r="P64" s="538"/>
      <c r="Q64" s="538"/>
    </row>
    <row r="65" spans="2:17" x14ac:dyDescent="0.25">
      <c r="B65" s="536"/>
      <c r="C65" s="535"/>
      <c r="D65" s="537"/>
      <c r="E65" s="535"/>
      <c r="F65" s="535"/>
      <c r="G65" s="535"/>
      <c r="H65" s="534"/>
      <c r="I65" s="535"/>
      <c r="J65" s="535"/>
      <c r="K65" s="534"/>
      <c r="L65" s="534"/>
      <c r="M65" s="535"/>
      <c r="N65" s="535"/>
      <c r="O65" s="534"/>
      <c r="P65" s="535"/>
      <c r="Q65" s="535"/>
    </row>
    <row r="66" spans="2:17" x14ac:dyDescent="0.25">
      <c r="B66" s="536"/>
      <c r="C66" s="535"/>
      <c r="D66" s="537"/>
      <c r="E66" s="535"/>
      <c r="F66" s="535"/>
      <c r="G66" s="535"/>
      <c r="H66" s="534"/>
      <c r="I66" s="535"/>
      <c r="J66" s="535"/>
      <c r="K66" s="534"/>
      <c r="L66" s="534"/>
      <c r="M66" s="535"/>
      <c r="N66" s="535"/>
      <c r="O66" s="534"/>
      <c r="P66" s="535"/>
      <c r="Q66" s="535"/>
    </row>
  </sheetData>
  <mergeCells count="24">
    <mergeCell ref="C61:U61"/>
    <mergeCell ref="C62:U62"/>
    <mergeCell ref="C36:C39"/>
    <mergeCell ref="C4:C8"/>
    <mergeCell ref="D4:E4"/>
    <mergeCell ref="F4:H4"/>
    <mergeCell ref="I5:J5"/>
    <mergeCell ref="D5:D7"/>
    <mergeCell ref="E5:E7"/>
    <mergeCell ref="I4:L4"/>
    <mergeCell ref="B29:C29"/>
    <mergeCell ref="B30:Q30"/>
    <mergeCell ref="C32:Q32"/>
    <mergeCell ref="C33:U33"/>
    <mergeCell ref="C34:U34"/>
    <mergeCell ref="M4:O4"/>
    <mergeCell ref="B2:Q2"/>
    <mergeCell ref="B1:Q1"/>
    <mergeCell ref="B4:B8"/>
    <mergeCell ref="Q4:Q7"/>
    <mergeCell ref="I6:J6"/>
    <mergeCell ref="M6:N6"/>
    <mergeCell ref="L5:L7"/>
    <mergeCell ref="M5:N5"/>
  </mergeCells>
  <pageMargins left="0.70866141732283472" right="0.70866141732283472" top="0.74803149606299213" bottom="0.74803149606299213" header="0.31496062992125984" footer="0.31496062992125984"/>
  <pageSetup paperSize="5" scale="65"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0">
    <tabColor rgb="FF7030A0"/>
  </sheetPr>
  <dimension ref="A1:P26"/>
  <sheetViews>
    <sheetView workbookViewId="0">
      <selection activeCell="D8" sqref="D8"/>
    </sheetView>
  </sheetViews>
  <sheetFormatPr baseColWidth="10" defaultRowHeight="12.75" x14ac:dyDescent="0.2"/>
  <cols>
    <col min="1" max="1" width="15.42578125" style="658" customWidth="1"/>
    <col min="2" max="4" width="7.85546875" style="658" customWidth="1"/>
    <col min="5" max="5" width="8.7109375" style="658" bestFit="1" customWidth="1"/>
    <col min="6" max="9" width="7.85546875" style="658" customWidth="1"/>
    <col min="10" max="10" width="9.42578125" style="658" customWidth="1"/>
    <col min="11" max="11" width="7.85546875" style="658" customWidth="1"/>
    <col min="12" max="12" width="9.140625" style="658" customWidth="1"/>
    <col min="13" max="13" width="8.5703125" style="658" customWidth="1"/>
    <col min="14" max="14" width="8.7109375" style="658" bestFit="1" customWidth="1"/>
    <col min="15" max="16384" width="11.42578125" style="658"/>
  </cols>
  <sheetData>
    <row r="1" spans="1:16" x14ac:dyDescent="0.2">
      <c r="A1" s="1021" t="s">
        <v>437</v>
      </c>
      <c r="B1" s="1021"/>
      <c r="C1" s="1021"/>
      <c r="D1" s="1021"/>
      <c r="E1" s="1021"/>
      <c r="F1" s="1021"/>
      <c r="G1" s="1021"/>
      <c r="H1" s="1021"/>
      <c r="I1" s="1021"/>
      <c r="J1" s="1021"/>
      <c r="K1" s="1021"/>
      <c r="L1" s="1021"/>
      <c r="M1" s="1021"/>
      <c r="N1" s="1021"/>
    </row>
    <row r="2" spans="1:16" ht="13.5" thickBot="1" x14ac:dyDescent="0.25"/>
    <row r="3" spans="1:16" ht="23.25" thickBot="1" x14ac:dyDescent="0.25">
      <c r="A3" s="659" t="s">
        <v>351</v>
      </c>
      <c r="B3" s="659" t="s">
        <v>1</v>
      </c>
      <c r="C3" s="661" t="s">
        <v>2</v>
      </c>
      <c r="D3" s="659" t="s">
        <v>3</v>
      </c>
      <c r="E3" s="661" t="s">
        <v>4</v>
      </c>
      <c r="F3" s="659" t="s">
        <v>5</v>
      </c>
      <c r="G3" s="659" t="s">
        <v>6</v>
      </c>
      <c r="H3" s="659" t="s">
        <v>7</v>
      </c>
      <c r="I3" s="661" t="s">
        <v>8</v>
      </c>
      <c r="J3" s="659" t="s">
        <v>9</v>
      </c>
      <c r="K3" s="661" t="s">
        <v>10</v>
      </c>
      <c r="L3" s="659" t="s">
        <v>11</v>
      </c>
      <c r="M3" s="659" t="s">
        <v>12</v>
      </c>
      <c r="N3" s="662" t="s">
        <v>169</v>
      </c>
    </row>
    <row r="4" spans="1:16" ht="12.75" customHeight="1" x14ac:dyDescent="0.2">
      <c r="A4" s="663" t="s">
        <v>284</v>
      </c>
      <c r="B4" s="665">
        <f>'[5]FOFIR  INCREMENTO'!C7+'[5]FFOR ESTIMACIONES'!C7</f>
        <v>166059.80182410308</v>
      </c>
      <c r="C4" s="665">
        <f>'[5]FOFIR  INCREMENTO'!D7+'[5]FFOR ESTIMACIONES'!D7</f>
        <v>121496.18625403017</v>
      </c>
      <c r="D4" s="665">
        <f>'[5]FOFIR  INCREMENTO'!E7+'[5]FFOR ESTIMACIONES'!E7</f>
        <v>121496.18625403017</v>
      </c>
      <c r="E4" s="665">
        <f>'[5]FOFIR  INCREMENTO'!F7+'[5]FFOR ESTIMACIONES'!F7</f>
        <v>199748.46075717272</v>
      </c>
      <c r="F4" s="665">
        <f>'[5]FOFIR  INCREMENTO'!G7+'[5]FFOR ESTIMACIONES'!G7</f>
        <v>121496.18625403017</v>
      </c>
      <c r="G4" s="665">
        <f>'[5]FOFIR  INCREMENTO'!H7+'[5]FFOR ESTIMACIONES'!H7</f>
        <v>121496.18625403017</v>
      </c>
      <c r="H4" s="665">
        <f>'[5]FOFIR  INCREMENTO'!I7+'[5]FFOR ESTIMACIONES'!I7</f>
        <v>167908.37469649853</v>
      </c>
      <c r="I4" s="665">
        <f>'[5]FOFIR  INCREMENTO'!J7+'[5]FFOR ESTIMACIONES'!J7</f>
        <v>121496.18625403018</v>
      </c>
      <c r="J4" s="665">
        <f>'[5]FOFIR  INCREMENTO'!K7+'[5]FFOR ESTIMACIONES'!K7</f>
        <v>121496.18625403018</v>
      </c>
      <c r="K4" s="665">
        <f>'[5]FOFIR  INCREMENTO'!L7+'[5]FFOR ESTIMACIONES'!L7</f>
        <v>173140.32783569855</v>
      </c>
      <c r="L4" s="665">
        <f>'[5]FOFIR  INCREMENTO'!M7+'[5]FFOR ESTIMACIONES'!M7</f>
        <v>121496.18625403021</v>
      </c>
      <c r="M4" s="665">
        <f>'[5]FOFIR  INCREMENTO'!N7+'[5]FFOR ESTIMACIONES'!N7</f>
        <v>121496.18625403021</v>
      </c>
      <c r="N4" s="666">
        <f t="shared" ref="N4:N24" si="0">SUM(B4:M4)</f>
        <v>1678826.4551457143</v>
      </c>
      <c r="P4" s="667"/>
    </row>
    <row r="5" spans="1:16" ht="12.75" customHeight="1" x14ac:dyDescent="0.2">
      <c r="A5" s="663" t="s">
        <v>148</v>
      </c>
      <c r="B5" s="665">
        <f>'[5]FOFIR  INCREMENTO'!C8+'[5]FFOR ESTIMACIONES'!C8</f>
        <v>65896.245453383191</v>
      </c>
      <c r="C5" s="665">
        <f>'[5]FOFIR  INCREMENTO'!D8+'[5]FFOR ESTIMACIONES'!D8</f>
        <v>49383.291033517453</v>
      </c>
      <c r="D5" s="665">
        <f>'[5]FOFIR  INCREMENTO'!E8+'[5]FFOR ESTIMACIONES'!E8</f>
        <v>49383.291033517453</v>
      </c>
      <c r="E5" s="665">
        <f>'[5]FOFIR  INCREMENTO'!F8+'[5]FFOR ESTIMACIONES'!F8</f>
        <v>78622.072446546939</v>
      </c>
      <c r="F5" s="665">
        <f>'[5]FOFIR  INCREMENTO'!G8+'[5]FFOR ESTIMACIONES'!G8</f>
        <v>49383.291033517453</v>
      </c>
      <c r="G5" s="665">
        <f>'[5]FOFIR  INCREMENTO'!H8+'[5]FFOR ESTIMACIONES'!H8</f>
        <v>49383.291033517453</v>
      </c>
      <c r="H5" s="665">
        <f>'[5]FOFIR  INCREMENTO'!I8+'[5]FFOR ESTIMACIONES'!I8</f>
        <v>66095.724649424024</v>
      </c>
      <c r="I5" s="665">
        <f>'[5]FOFIR  INCREMENTO'!J8+'[5]FFOR ESTIMACIONES'!J8</f>
        <v>49383.29103351746</v>
      </c>
      <c r="J5" s="665">
        <f>'[5]FOFIR  INCREMENTO'!K8+'[5]FFOR ESTIMACIONES'!K8</f>
        <v>49383.29103351746</v>
      </c>
      <c r="K5" s="665">
        <f>'[5]FOFIR  INCREMENTO'!L8+'[5]FFOR ESTIMACIONES'!L8</f>
        <v>68436.559581981463</v>
      </c>
      <c r="L5" s="665">
        <f>'[5]FOFIR  INCREMENTO'!M8+'[5]FFOR ESTIMACIONES'!M8</f>
        <v>49383.291033517475</v>
      </c>
      <c r="M5" s="665">
        <f>'[5]FOFIR  INCREMENTO'!N8+'[5]FFOR ESTIMACIONES'!N8</f>
        <v>49383.291033517475</v>
      </c>
      <c r="N5" s="666">
        <f t="shared" si="0"/>
        <v>674116.93039947527</v>
      </c>
      <c r="P5" s="667"/>
    </row>
    <row r="6" spans="1:16" ht="12.75" customHeight="1" x14ac:dyDescent="0.2">
      <c r="A6" s="663" t="s">
        <v>149</v>
      </c>
      <c r="B6" s="665">
        <f>'[5]FOFIR  INCREMENTO'!C9+'[5]FFOR ESTIMACIONES'!C9</f>
        <v>47172.166888439977</v>
      </c>
      <c r="C6" s="665">
        <f>'[5]FOFIR  INCREMENTO'!D9+'[5]FFOR ESTIMACIONES'!D9</f>
        <v>36009.252493238819</v>
      </c>
      <c r="D6" s="665">
        <f>'[5]FOFIR  INCREMENTO'!E9+'[5]FFOR ESTIMACIONES'!E9</f>
        <v>36009.252493238819</v>
      </c>
      <c r="E6" s="665">
        <f>'[5]FOFIR  INCREMENTO'!F9+'[5]FFOR ESTIMACIONES'!F9</f>
        <v>55920.919567698598</v>
      </c>
      <c r="F6" s="665">
        <f>'[5]FOFIR  INCREMENTO'!G9+'[5]FFOR ESTIMACIONES'!G9</f>
        <v>36009.252493238819</v>
      </c>
      <c r="G6" s="665">
        <f>'[5]FOFIR  INCREMENTO'!H9+'[5]FFOR ESTIMACIONES'!H9</f>
        <v>36009.252493238819</v>
      </c>
      <c r="H6" s="665">
        <f>'[5]FOFIR  INCREMENTO'!I9+'[5]FFOR ESTIMACIONES'!I9</f>
        <v>47014.845704379681</v>
      </c>
      <c r="I6" s="665">
        <f>'[5]FOFIR  INCREMENTO'!J9+'[5]FFOR ESTIMACIONES'!J9</f>
        <v>36009.252493238826</v>
      </c>
      <c r="J6" s="665">
        <f>'[5]FOFIR  INCREMENTO'!K9+'[5]FFOR ESTIMACIONES'!K9</f>
        <v>36009.252493238826</v>
      </c>
      <c r="K6" s="665">
        <f>'[5]FOFIR  INCREMENTO'!L9+'[5]FFOR ESTIMACIONES'!L9</f>
        <v>48839.278476363965</v>
      </c>
      <c r="L6" s="665">
        <f>'[5]FOFIR  INCREMENTO'!M9+'[5]FFOR ESTIMACIONES'!M9</f>
        <v>36009.252493238833</v>
      </c>
      <c r="M6" s="665">
        <f>'[5]FOFIR  INCREMENTO'!N9+'[5]FFOR ESTIMACIONES'!N9</f>
        <v>36009.252493238833</v>
      </c>
      <c r="N6" s="666">
        <f t="shared" si="0"/>
        <v>487021.23058279284</v>
      </c>
      <c r="P6" s="667"/>
    </row>
    <row r="7" spans="1:16" ht="12.75" customHeight="1" x14ac:dyDescent="0.2">
      <c r="A7" s="663" t="s">
        <v>285</v>
      </c>
      <c r="B7" s="665">
        <f>'[5]FOFIR  INCREMENTO'!C10+'[5]FFOR ESTIMACIONES'!C10</f>
        <v>1617728.7073038896</v>
      </c>
      <c r="C7" s="665">
        <f>'[5]FOFIR  INCREMENTO'!D10+'[5]FFOR ESTIMACIONES'!D10</f>
        <v>430998.70281890297</v>
      </c>
      <c r="D7" s="665">
        <f>'[5]FOFIR  INCREMENTO'!E10+'[5]FFOR ESTIMACIONES'!E10</f>
        <v>430998.70281890297</v>
      </c>
      <c r="E7" s="665">
        <f>'[5]FOFIR  INCREMENTO'!F10+'[5]FFOR ESTIMACIONES'!F10</f>
        <v>2358947.3555349289</v>
      </c>
      <c r="F7" s="665">
        <f>'[5]FOFIR  INCREMENTO'!G10+'[5]FFOR ESTIMACIONES'!G10</f>
        <v>430998.70281890297</v>
      </c>
      <c r="G7" s="665">
        <f>'[5]FOFIR  INCREMENTO'!H10+'[5]FFOR ESTIMACIONES'!H10</f>
        <v>430998.70281890297</v>
      </c>
      <c r="H7" s="665">
        <f>'[5]FOFIR  INCREMENTO'!I10+'[5]FFOR ESTIMACIONES'!I10</f>
        <v>1979019.7665862315</v>
      </c>
      <c r="I7" s="665">
        <f>'[5]FOFIR  INCREMENTO'!J10+'[5]FFOR ESTIMACIONES'!J10</f>
        <v>430998.70281890291</v>
      </c>
      <c r="J7" s="665">
        <f>'[5]FOFIR  INCREMENTO'!K10+'[5]FFOR ESTIMACIONES'!K10</f>
        <v>430998.70281890291</v>
      </c>
      <c r="K7" s="665">
        <f>'[5]FOFIR  INCREMENTO'!L10+'[5]FFOR ESTIMACIONES'!L10</f>
        <v>1859863.6965230324</v>
      </c>
      <c r="L7" s="665">
        <f>'[5]FOFIR  INCREMENTO'!M10+'[5]FFOR ESTIMACIONES'!M10</f>
        <v>430998.70281890279</v>
      </c>
      <c r="M7" s="665">
        <f>'[5]FOFIR  INCREMENTO'!N10+'[5]FFOR ESTIMACIONES'!N10</f>
        <v>430998.70281890279</v>
      </c>
      <c r="N7" s="666">
        <f t="shared" si="0"/>
        <v>11263549.148499306</v>
      </c>
      <c r="P7" s="667"/>
    </row>
    <row r="8" spans="1:16" ht="12.75" customHeight="1" x14ac:dyDescent="0.2">
      <c r="A8" s="663" t="s">
        <v>151</v>
      </c>
      <c r="B8" s="665">
        <f>'[5]FOFIR  INCREMENTO'!C11+'[5]FFOR ESTIMACIONES'!C11</f>
        <v>335898.08821091719</v>
      </c>
      <c r="C8" s="665">
        <f>'[5]FOFIR  INCREMENTO'!D11+'[5]FFOR ESTIMACIONES'!D11</f>
        <v>224560.41676661855</v>
      </c>
      <c r="D8" s="665">
        <f>'[5]FOFIR  INCREMENTO'!E11+'[5]FFOR ESTIMACIONES'!E11</f>
        <v>224560.41676661855</v>
      </c>
      <c r="E8" s="665">
        <f>'[5]FOFIR  INCREMENTO'!F11+'[5]FFOR ESTIMACIONES'!F11</f>
        <v>415674.64870536816</v>
      </c>
      <c r="F8" s="665">
        <f>'[5]FOFIR  INCREMENTO'!G11+'[5]FFOR ESTIMACIONES'!G11</f>
        <v>224560.41676661855</v>
      </c>
      <c r="G8" s="665">
        <f>'[5]FOFIR  INCREMENTO'!H11+'[5]FFOR ESTIMACIONES'!H11</f>
        <v>224560.41676661855</v>
      </c>
      <c r="H8" s="665">
        <f>'[5]FOFIR  INCREMENTO'!I11+'[5]FFOR ESTIMACIONES'!I11</f>
        <v>349305.63097027713</v>
      </c>
      <c r="I8" s="665">
        <f>'[5]FOFIR  INCREMENTO'!J11+'[5]FFOR ESTIMACIONES'!J11</f>
        <v>224560.41676661861</v>
      </c>
      <c r="J8" s="665">
        <f>'[5]FOFIR  INCREMENTO'!K11+'[5]FFOR ESTIMACIONES'!K11</f>
        <v>224560.41676661861</v>
      </c>
      <c r="K8" s="665">
        <f>'[5]FOFIR  INCREMENTO'!L11+'[5]FFOR ESTIMACIONES'!L11</f>
        <v>355097.12288766826</v>
      </c>
      <c r="L8" s="665">
        <f>'[5]FOFIR  INCREMENTO'!M11+'[5]FFOR ESTIMACIONES'!M11</f>
        <v>224560.41676661867</v>
      </c>
      <c r="M8" s="665">
        <f>'[5]FOFIR  INCREMENTO'!N11+'[5]FFOR ESTIMACIONES'!N11</f>
        <v>224560.41676661867</v>
      </c>
      <c r="N8" s="666">
        <f t="shared" si="0"/>
        <v>3252458.8249071799</v>
      </c>
      <c r="P8" s="667"/>
    </row>
    <row r="9" spans="1:16" ht="12.75" customHeight="1" x14ac:dyDescent="0.2">
      <c r="A9" s="663" t="s">
        <v>286</v>
      </c>
      <c r="B9" s="665">
        <f>'[5]FOFIR  INCREMENTO'!C12+'[5]FFOR ESTIMACIONES'!C12</f>
        <v>136223.33080593604</v>
      </c>
      <c r="C9" s="665">
        <f>'[5]FOFIR  INCREMENTO'!D12+'[5]FFOR ESTIMACIONES'!D12</f>
        <v>106022.47054212105</v>
      </c>
      <c r="D9" s="665">
        <f>'[5]FOFIR  INCREMENTO'!E12+'[5]FFOR ESTIMACIONES'!E12</f>
        <v>106022.47054212105</v>
      </c>
      <c r="E9" s="665">
        <f>'[5]FOFIR  INCREMENTO'!F12+'[5]FFOR ESTIMACIONES'!F12</f>
        <v>160370.91559869357</v>
      </c>
      <c r="F9" s="665">
        <f>'[5]FOFIR  INCREMENTO'!G12+'[5]FFOR ESTIMACIONES'!G12</f>
        <v>106022.47054212105</v>
      </c>
      <c r="G9" s="665">
        <f>'[5]FOFIR  INCREMENTO'!H12+'[5]FFOR ESTIMACIONES'!H12</f>
        <v>106022.47054212105</v>
      </c>
      <c r="H9" s="665">
        <f>'[5]FOFIR  INCREMENTO'!I12+'[5]FFOR ESTIMACIONES'!I12</f>
        <v>134840.6604641614</v>
      </c>
      <c r="I9" s="665">
        <f>'[5]FOFIR  INCREMENTO'!J12+'[5]FFOR ESTIMACIONES'!J12</f>
        <v>106022.47054212107</v>
      </c>
      <c r="J9" s="665">
        <f>'[5]FOFIR  INCREMENTO'!K12+'[5]FFOR ESTIMACIONES'!K12</f>
        <v>106022.47054212107</v>
      </c>
      <c r="K9" s="665">
        <f>'[5]FOFIR  INCREMENTO'!L12+'[5]FFOR ESTIMACIONES'!L12</f>
        <v>140569.31906997022</v>
      </c>
      <c r="L9" s="665">
        <f>'[5]FOFIR  INCREMENTO'!M12+'[5]FFOR ESTIMACIONES'!M12</f>
        <v>106022.4705421211</v>
      </c>
      <c r="M9" s="665">
        <f>'[5]FOFIR  INCREMENTO'!N12+'[5]FFOR ESTIMACIONES'!N12</f>
        <v>106022.4705421211</v>
      </c>
      <c r="N9" s="666">
        <f t="shared" si="0"/>
        <v>1420183.9902757299</v>
      </c>
      <c r="P9" s="667"/>
    </row>
    <row r="10" spans="1:16" ht="12.75" customHeight="1" x14ac:dyDescent="0.2">
      <c r="A10" s="663" t="s">
        <v>153</v>
      </c>
      <c r="B10" s="665">
        <f>'[5]FOFIR  INCREMENTO'!C13+'[5]FFOR ESTIMACIONES'!C13</f>
        <v>46943.919635121681</v>
      </c>
      <c r="C10" s="665">
        <f>'[5]FOFIR  INCREMENTO'!D13+'[5]FFOR ESTIMACIONES'!D13</f>
        <v>36546.418155936706</v>
      </c>
      <c r="D10" s="665">
        <f>'[5]FOFIR  INCREMENTO'!E13+'[5]FFOR ESTIMACIONES'!E13</f>
        <v>36546.418155936706</v>
      </c>
      <c r="E10" s="665">
        <f>'[5]FOFIR  INCREMENTO'!F13+'[5]FFOR ESTIMACIONES'!F13</f>
        <v>55259.921339763569</v>
      </c>
      <c r="F10" s="665">
        <f>'[5]FOFIR  INCREMENTO'!G13+'[5]FFOR ESTIMACIONES'!G13</f>
        <v>36546.418155936706</v>
      </c>
      <c r="G10" s="665">
        <f>'[5]FOFIR  INCREMENTO'!H13+'[5]FFOR ESTIMACIONES'!H13</f>
        <v>36546.418155936706</v>
      </c>
      <c r="H10" s="665">
        <f>'[5]FOFIR  INCREMENTO'!I13+'[5]FFOR ESTIMACIONES'!I13</f>
        <v>46462.868832540647</v>
      </c>
      <c r="I10" s="665">
        <f>'[5]FOFIR  INCREMENTO'!J13+'[5]FFOR ESTIMACIONES'!J13</f>
        <v>36546.418155936706</v>
      </c>
      <c r="J10" s="665">
        <f>'[5]FOFIR  INCREMENTO'!K13+'[5]FFOR ESTIMACIONES'!K13</f>
        <v>36546.418155936706</v>
      </c>
      <c r="K10" s="665">
        <f>'[5]FOFIR  INCREMENTO'!L13+'[5]FFOR ESTIMACIONES'!L13</f>
        <v>48439.285993104728</v>
      </c>
      <c r="L10" s="665">
        <f>'[5]FOFIR  INCREMENTO'!M13+'[5]FFOR ESTIMACIONES'!M13</f>
        <v>36546.418155936721</v>
      </c>
      <c r="M10" s="665">
        <f>'[5]FOFIR  INCREMENTO'!N13+'[5]FFOR ESTIMACIONES'!N13</f>
        <v>36546.418155936721</v>
      </c>
      <c r="N10" s="666">
        <f t="shared" si="0"/>
        <v>489477.34104802425</v>
      </c>
      <c r="P10" s="667"/>
    </row>
    <row r="11" spans="1:16" ht="12.75" customHeight="1" x14ac:dyDescent="0.2">
      <c r="A11" s="663" t="s">
        <v>154</v>
      </c>
      <c r="B11" s="665">
        <f>'[5]FOFIR  INCREMENTO'!C14+'[5]FFOR ESTIMACIONES'!C14</f>
        <v>124230.24244290034</v>
      </c>
      <c r="C11" s="665">
        <f>'[5]FOFIR  INCREMENTO'!D14+'[5]FFOR ESTIMACIONES'!D14</f>
        <v>90312.547392919572</v>
      </c>
      <c r="D11" s="665">
        <f>'[5]FOFIR  INCREMENTO'!E14+'[5]FFOR ESTIMACIONES'!E14</f>
        <v>90312.547392919572</v>
      </c>
      <c r="E11" s="665">
        <f>'[5]FOFIR  INCREMENTO'!F14+'[5]FFOR ESTIMACIONES'!F14</f>
        <v>149750.89511270751</v>
      </c>
      <c r="F11" s="665">
        <f>'[5]FOFIR  INCREMENTO'!G14+'[5]FFOR ESTIMACIONES'!G14</f>
        <v>90312.547392919572</v>
      </c>
      <c r="G11" s="665">
        <f>'[5]FOFIR  INCREMENTO'!H14+'[5]FFOR ESTIMACIONES'!H14</f>
        <v>90312.547392919572</v>
      </c>
      <c r="H11" s="665">
        <f>'[5]FOFIR  INCREMENTO'!I14+'[5]FFOR ESTIMACIONES'!I14</f>
        <v>125877.45677451006</v>
      </c>
      <c r="I11" s="665">
        <f>'[5]FOFIR  INCREMENTO'!J14+'[5]FFOR ESTIMACIONES'!J14</f>
        <v>90312.547392919587</v>
      </c>
      <c r="J11" s="665">
        <f>'[5]FOFIR  INCREMENTO'!K14+'[5]FFOR ESTIMACIONES'!K14</f>
        <v>90312.547392919587</v>
      </c>
      <c r="K11" s="665">
        <f>'[5]FOFIR  INCREMENTO'!L14+'[5]FFOR ESTIMACIONES'!L14</f>
        <v>129660.53337129968</v>
      </c>
      <c r="L11" s="665">
        <f>'[5]FOFIR  INCREMENTO'!M14+'[5]FFOR ESTIMACIONES'!M14</f>
        <v>90312.547392919616</v>
      </c>
      <c r="M11" s="665">
        <f>'[5]FOFIR  INCREMENTO'!N14+'[5]FFOR ESTIMACIONES'!N14</f>
        <v>90312.547392919616</v>
      </c>
      <c r="N11" s="666">
        <f t="shared" si="0"/>
        <v>1252019.5068447744</v>
      </c>
      <c r="P11" s="667"/>
    </row>
    <row r="12" spans="1:16" ht="12.75" customHeight="1" x14ac:dyDescent="0.2">
      <c r="A12" s="663" t="s">
        <v>155</v>
      </c>
      <c r="B12" s="665">
        <f>'[5]FOFIR  INCREMENTO'!C15+'[5]FFOR ESTIMACIONES'!C15</f>
        <v>73217.41689484354</v>
      </c>
      <c r="C12" s="665">
        <f>'[5]FOFIR  INCREMENTO'!D15+'[5]FFOR ESTIMACIONES'!D15</f>
        <v>55839.774119728063</v>
      </c>
      <c r="D12" s="665">
        <f>'[5]FOFIR  INCREMENTO'!E15+'[5]FFOR ESTIMACIONES'!E15</f>
        <v>55839.774119728063</v>
      </c>
      <c r="E12" s="665">
        <f>'[5]FOFIR  INCREMENTO'!F15+'[5]FFOR ESTIMACIONES'!F15</f>
        <v>86824.803164653436</v>
      </c>
      <c r="F12" s="665">
        <f>'[5]FOFIR  INCREMENTO'!G15+'[5]FFOR ESTIMACIONES'!G15</f>
        <v>55839.774119728063</v>
      </c>
      <c r="G12" s="665">
        <f>'[5]FOFIR  INCREMENTO'!H15+'[5]FFOR ESTIMACIONES'!H15</f>
        <v>55839.774119728063</v>
      </c>
      <c r="H12" s="665">
        <f>'[5]FOFIR  INCREMENTO'!I15+'[5]FFOR ESTIMACIONES'!I15</f>
        <v>72996.646462266639</v>
      </c>
      <c r="I12" s="665">
        <f>'[5]FOFIR  INCREMENTO'!J15+'[5]FFOR ESTIMACIONES'!J15</f>
        <v>55839.77411972807</v>
      </c>
      <c r="J12" s="665">
        <f>'[5]FOFIR  INCREMENTO'!K15+'[5]FFOR ESTIMACIONES'!K15</f>
        <v>55839.77411972807</v>
      </c>
      <c r="K12" s="665">
        <f>'[5]FOFIR  INCREMENTO'!L15+'[5]FFOR ESTIMACIONES'!L15</f>
        <v>75816.803486396821</v>
      </c>
      <c r="L12" s="665">
        <f>'[5]FOFIR  INCREMENTO'!M15+'[5]FFOR ESTIMACIONES'!M15</f>
        <v>55839.774119728085</v>
      </c>
      <c r="M12" s="665">
        <f>'[5]FOFIR  INCREMENTO'!N15+'[5]FFOR ESTIMACIONES'!N15</f>
        <v>55839.774119728085</v>
      </c>
      <c r="N12" s="666">
        <f t="shared" si="0"/>
        <v>755573.86296598508</v>
      </c>
      <c r="P12" s="667"/>
    </row>
    <row r="13" spans="1:16" ht="12.75" customHeight="1" x14ac:dyDescent="0.2">
      <c r="A13" s="663" t="s">
        <v>156</v>
      </c>
      <c r="B13" s="665">
        <f>'[5]FOFIR  INCREMENTO'!C16+'[5]FFOR ESTIMACIONES'!C16</f>
        <v>54629.467025347098</v>
      </c>
      <c r="C13" s="665">
        <f>'[5]FOFIR  INCREMENTO'!D16+'[5]FFOR ESTIMACIONES'!D16</f>
        <v>41918.164215620891</v>
      </c>
      <c r="D13" s="665">
        <f>'[5]FOFIR  INCREMENTO'!E16+'[5]FFOR ESTIMACIONES'!E16</f>
        <v>41918.164215620891</v>
      </c>
      <c r="E13" s="665">
        <f>'[5]FOFIR  INCREMENTO'!F16+'[5]FFOR ESTIMACIONES'!F16</f>
        <v>64642.564346199848</v>
      </c>
      <c r="F13" s="665">
        <f>'[5]FOFIR  INCREMENTO'!G16+'[5]FFOR ESTIMACIONES'!G16</f>
        <v>41918.164215620891</v>
      </c>
      <c r="G13" s="665">
        <f>'[5]FOFIR  INCREMENTO'!H16+'[5]FFOR ESTIMACIONES'!H16</f>
        <v>41918.164215620891</v>
      </c>
      <c r="H13" s="665">
        <f>'[5]FOFIR  INCREMENTO'!I16+'[5]FFOR ESTIMACIONES'!I16</f>
        <v>54348.604601859013</v>
      </c>
      <c r="I13" s="665">
        <f>'[5]FOFIR  INCREMENTO'!J16+'[5]FFOR ESTIMACIONES'!J16</f>
        <v>41918.164215620898</v>
      </c>
      <c r="J13" s="665">
        <f>'[5]FOFIR  INCREMENTO'!K16+'[5]FFOR ESTIMACIONES'!K16</f>
        <v>41918.164215620898</v>
      </c>
      <c r="K13" s="665">
        <f>'[5]FOFIR  INCREMENTO'!L16+'[5]FFOR ESTIMACIONES'!L16</f>
        <v>56510.355805752377</v>
      </c>
      <c r="L13" s="665">
        <f>'[5]FOFIR  INCREMENTO'!M16+'[5]FFOR ESTIMACIONES'!M16</f>
        <v>41918.164215620913</v>
      </c>
      <c r="M13" s="665">
        <f>'[5]FOFIR  INCREMENTO'!N16+'[5]FFOR ESTIMACIONES'!N16</f>
        <v>41918.164215620913</v>
      </c>
      <c r="N13" s="666">
        <f t="shared" si="0"/>
        <v>565476.30550412554</v>
      </c>
      <c r="P13" s="667"/>
    </row>
    <row r="14" spans="1:16" ht="12.75" customHeight="1" x14ac:dyDescent="0.2">
      <c r="A14" s="663" t="s">
        <v>157</v>
      </c>
      <c r="B14" s="665">
        <f>'[5]FOFIR  INCREMENTO'!C17+'[5]FFOR ESTIMACIONES'!C17</f>
        <v>145506.38386108386</v>
      </c>
      <c r="C14" s="665">
        <f>'[5]FOFIR  INCREMENTO'!D17+'[5]FFOR ESTIMACIONES'!D17</f>
        <v>111856.14487044928</v>
      </c>
      <c r="D14" s="665">
        <f>'[5]FOFIR  INCREMENTO'!E17+'[5]FFOR ESTIMACIONES'!E17</f>
        <v>111856.14487044928</v>
      </c>
      <c r="E14" s="665">
        <f>'[5]FOFIR  INCREMENTO'!F17+'[5]FFOR ESTIMACIONES'!F17</f>
        <v>172063.08587293784</v>
      </c>
      <c r="F14" s="665">
        <f>'[5]FOFIR  INCREMENTO'!G17+'[5]FFOR ESTIMACIONES'!G17</f>
        <v>111856.14487044928</v>
      </c>
      <c r="G14" s="665">
        <f>'[5]FOFIR  INCREMENTO'!H17+'[5]FFOR ESTIMACIONES'!H17</f>
        <v>111856.14487044928</v>
      </c>
      <c r="H14" s="665">
        <f>'[5]FOFIR  INCREMENTO'!I17+'[5]FFOR ESTIMACIONES'!I17</f>
        <v>144664.11103260936</v>
      </c>
      <c r="I14" s="665">
        <f>'[5]FOFIR  INCREMENTO'!J17+'[5]FFOR ESTIMACIONES'!J17</f>
        <v>111856.14487044929</v>
      </c>
      <c r="J14" s="665">
        <f>'[5]FOFIR  INCREMENTO'!K17+'[5]FFOR ESTIMACIONES'!K17</f>
        <v>111856.14487044929</v>
      </c>
      <c r="K14" s="665">
        <f>'[5]FOFIR  INCREMENTO'!L17+'[5]FFOR ESTIMACIONES'!L17</f>
        <v>150468.64672921068</v>
      </c>
      <c r="L14" s="665">
        <f>'[5]FOFIR  INCREMENTO'!M17+'[5]FFOR ESTIMACIONES'!M17</f>
        <v>111856.14487044932</v>
      </c>
      <c r="M14" s="665">
        <f>'[5]FOFIR  INCREMENTO'!N17+'[5]FFOR ESTIMACIONES'!N17</f>
        <v>111856.14487044932</v>
      </c>
      <c r="N14" s="666">
        <f t="shared" si="0"/>
        <v>1507551.386459436</v>
      </c>
      <c r="P14" s="667"/>
    </row>
    <row r="15" spans="1:16" ht="12.75" customHeight="1" x14ac:dyDescent="0.2">
      <c r="A15" s="663" t="s">
        <v>158</v>
      </c>
      <c r="B15" s="665">
        <f>'[5]FOFIR  INCREMENTO'!C18+'[5]FFOR ESTIMACIONES'!C18</f>
        <v>95281.562275807373</v>
      </c>
      <c r="C15" s="665">
        <f>'[5]FOFIR  INCREMENTO'!D18+'[5]FFOR ESTIMACIONES'!D18</f>
        <v>72968.796871253828</v>
      </c>
      <c r="D15" s="665">
        <f>'[5]FOFIR  INCREMENTO'!E18+'[5]FFOR ESTIMACIONES'!E18</f>
        <v>72968.796871253828</v>
      </c>
      <c r="E15" s="665">
        <f>'[5]FOFIR  INCREMENTO'!F18+'[5]FFOR ESTIMACIONES'!F18</f>
        <v>112824.00287479749</v>
      </c>
      <c r="F15" s="665">
        <f>'[5]FOFIR  INCREMENTO'!G18+'[5]FFOR ESTIMACIONES'!G18</f>
        <v>72968.796871253828</v>
      </c>
      <c r="G15" s="665">
        <f>'[5]FOFIR  INCREMENTO'!H18+'[5]FFOR ESTIMACIONES'!H18</f>
        <v>72968.796871253828</v>
      </c>
      <c r="H15" s="665">
        <f>'[5]FOFIR  INCREMENTO'!I18+'[5]FFOR ESTIMACIONES'!I18</f>
        <v>94856.671654094942</v>
      </c>
      <c r="I15" s="665">
        <f>'[5]FOFIR  INCREMENTO'!J18+'[5]FFOR ESTIMACIONES'!J18</f>
        <v>72968.796871253842</v>
      </c>
      <c r="J15" s="665">
        <f>'[5]FOFIR  INCREMENTO'!K18+'[5]FFOR ESTIMACIONES'!K18</f>
        <v>72968.796871253842</v>
      </c>
      <c r="K15" s="665">
        <f>'[5]FOFIR  INCREMENTO'!L18+'[5]FFOR ESTIMACIONES'!L18</f>
        <v>98594.8735892369</v>
      </c>
      <c r="L15" s="665">
        <f>'[5]FOFIR  INCREMENTO'!M18+'[5]FFOR ESTIMACIONES'!M18</f>
        <v>72968.796871253857</v>
      </c>
      <c r="M15" s="665">
        <f>'[5]FOFIR  INCREMENTO'!N18+'[5]FFOR ESTIMACIONES'!N18</f>
        <v>72968.796871253857</v>
      </c>
      <c r="N15" s="666">
        <f t="shared" si="0"/>
        <v>985307.48536396737</v>
      </c>
      <c r="P15" s="667"/>
    </row>
    <row r="16" spans="1:16" ht="12.75" customHeight="1" x14ac:dyDescent="0.2">
      <c r="A16" s="663" t="s">
        <v>159</v>
      </c>
      <c r="B16" s="665">
        <f>'[5]FOFIR  INCREMENTO'!C19+'[5]FFOR ESTIMACIONES'!C19</f>
        <v>175211.10725289915</v>
      </c>
      <c r="C16" s="665">
        <f>'[5]FOFIR  INCREMENTO'!D19+'[5]FFOR ESTIMACIONES'!D19</f>
        <v>130974.14327742736</v>
      </c>
      <c r="D16" s="665">
        <f>'[5]FOFIR  INCREMENTO'!E19+'[5]FFOR ESTIMACIONES'!E19</f>
        <v>130974.14327742736</v>
      </c>
      <c r="E16" s="665">
        <f>'[5]FOFIR  INCREMENTO'!F19+'[5]FFOR ESTIMACIONES'!F19</f>
        <v>209229.25806835794</v>
      </c>
      <c r="F16" s="665">
        <f>'[5]FOFIR  INCREMENTO'!G19+'[5]FFOR ESTIMACIONES'!G19</f>
        <v>130974.14327742736</v>
      </c>
      <c r="G16" s="665">
        <f>'[5]FOFIR  INCREMENTO'!H19+'[5]FFOR ESTIMACIONES'!H19</f>
        <v>130974.14327742736</v>
      </c>
      <c r="H16" s="665">
        <f>'[5]FOFIR  INCREMENTO'!I19+'[5]FFOR ESTIMACIONES'!I19</f>
        <v>175892.37743240609</v>
      </c>
      <c r="I16" s="665">
        <f>'[5]FOFIR  INCREMENTO'!J19+'[5]FFOR ESTIMACIONES'!J19</f>
        <v>130974.14327742737</v>
      </c>
      <c r="J16" s="665">
        <f>'[5]FOFIR  INCREMENTO'!K19+'[5]FFOR ESTIMACIONES'!K19</f>
        <v>130974.14327742737</v>
      </c>
      <c r="K16" s="665">
        <f>'[5]FOFIR  INCREMENTO'!L19+'[5]FFOR ESTIMACIONES'!L19</f>
        <v>182041.63685868873</v>
      </c>
      <c r="L16" s="665">
        <f>'[5]FOFIR  INCREMENTO'!M19+'[5]FFOR ESTIMACIONES'!M19</f>
        <v>130974.1432774274</v>
      </c>
      <c r="M16" s="665">
        <f>'[5]FOFIR  INCREMENTO'!N19+'[5]FFOR ESTIMACIONES'!N19</f>
        <v>130974.1432774274</v>
      </c>
      <c r="N16" s="666">
        <f t="shared" si="0"/>
        <v>1790167.5258317711</v>
      </c>
      <c r="P16" s="667"/>
    </row>
    <row r="17" spans="1:16" ht="12.75" customHeight="1" x14ac:dyDescent="0.2">
      <c r="A17" s="663" t="s">
        <v>287</v>
      </c>
      <c r="B17" s="665">
        <f>'[5]FOFIR  INCREMENTO'!C20+'[5]FFOR ESTIMACIONES'!C20</f>
        <v>32082.245978128209</v>
      </c>
      <c r="C17" s="665">
        <f>'[5]FOFIR  INCREMENTO'!D20+'[5]FFOR ESTIMACIONES'!D20</f>
        <v>24734.573295392911</v>
      </c>
      <c r="D17" s="665">
        <f>'[5]FOFIR  INCREMENTO'!E20+'[5]FFOR ESTIMACIONES'!E20</f>
        <v>24734.573295392911</v>
      </c>
      <c r="E17" s="665">
        <f>'[5]FOFIR  INCREMENTO'!F20+'[5]FFOR ESTIMACIONES'!F20</f>
        <v>37898.266086048701</v>
      </c>
      <c r="F17" s="665">
        <f>'[5]FOFIR  INCREMENTO'!G20+'[5]FFOR ESTIMACIONES'!G20</f>
        <v>24734.573295392911</v>
      </c>
      <c r="G17" s="665">
        <f>'[5]FOFIR  INCREMENTO'!H20+'[5]FFOR ESTIMACIONES'!H20</f>
        <v>24734.573295392911</v>
      </c>
      <c r="H17" s="665">
        <f>'[5]FOFIR  INCREMENTO'!I20+'[5]FFOR ESTIMACIONES'!I20</f>
        <v>31863.80267220438</v>
      </c>
      <c r="I17" s="665">
        <f>'[5]FOFIR  INCREMENTO'!J20+'[5]FFOR ESTIMACIONES'!J20</f>
        <v>24734.573295392915</v>
      </c>
      <c r="J17" s="665">
        <f>'[5]FOFIR  INCREMENTO'!K20+'[5]FFOR ESTIMACIONES'!K20</f>
        <v>24734.573295392915</v>
      </c>
      <c r="K17" s="665">
        <f>'[5]FOFIR  INCREMENTO'!L20+'[5]FFOR ESTIMACIONES'!L20</f>
        <v>33159.848552051655</v>
      </c>
      <c r="L17" s="665">
        <f>'[5]FOFIR  INCREMENTO'!M20+'[5]FFOR ESTIMACIONES'!M20</f>
        <v>24734.573295392922</v>
      </c>
      <c r="M17" s="665">
        <f>'[5]FOFIR  INCREMENTO'!N20+'[5]FFOR ESTIMACIONES'!N20</f>
        <v>24734.573295392922</v>
      </c>
      <c r="N17" s="666">
        <f t="shared" si="0"/>
        <v>332880.74965157622</v>
      </c>
      <c r="P17" s="667"/>
    </row>
    <row r="18" spans="1:16" ht="12.75" customHeight="1" x14ac:dyDescent="0.2">
      <c r="A18" s="663" t="s">
        <v>288</v>
      </c>
      <c r="B18" s="665">
        <f>'[5]FOFIR  INCREMENTO'!C21+'[5]FFOR ESTIMACIONES'!C21</f>
        <v>99391.400023789014</v>
      </c>
      <c r="C18" s="665">
        <f>'[5]FOFIR  INCREMENTO'!D21+'[5]FFOR ESTIMACIONES'!D21</f>
        <v>75403.363201752349</v>
      </c>
      <c r="D18" s="665">
        <f>'[5]FOFIR  INCREMENTO'!E21+'[5]FFOR ESTIMACIONES'!E21</f>
        <v>75403.363201752349</v>
      </c>
      <c r="E18" s="665">
        <f>'[5]FOFIR  INCREMENTO'!F21+'[5]FFOR ESTIMACIONES'!F21</f>
        <v>118081.71964193785</v>
      </c>
      <c r="F18" s="665">
        <f>'[5]FOFIR  INCREMENTO'!G21+'[5]FFOR ESTIMACIONES'!G21</f>
        <v>75403.363201752349</v>
      </c>
      <c r="G18" s="665">
        <f>'[5]FOFIR  INCREMENTO'!H21+'[5]FFOR ESTIMACIONES'!H21</f>
        <v>75403.363201752349</v>
      </c>
      <c r="H18" s="665">
        <f>'[5]FOFIR  INCREMENTO'!I21+'[5]FFOR ESTIMACIONES'!I21</f>
        <v>99273.330570092847</v>
      </c>
      <c r="I18" s="665">
        <f>'[5]FOFIR  INCREMENTO'!J21+'[5]FFOR ESTIMACIONES'!J21</f>
        <v>75403.363201752363</v>
      </c>
      <c r="J18" s="665">
        <f>'[5]FOFIR  INCREMENTO'!K21+'[5]FFOR ESTIMACIONES'!K21</f>
        <v>75403.363201752363</v>
      </c>
      <c r="K18" s="665">
        <f>'[5]FOFIR  INCREMENTO'!L21+'[5]FFOR ESTIMACIONES'!L21</f>
        <v>103011.63676344753</v>
      </c>
      <c r="L18" s="665">
        <f>'[5]FOFIR  INCREMENTO'!M21+'[5]FFOR ESTIMACIONES'!M21</f>
        <v>75403.363201752378</v>
      </c>
      <c r="M18" s="665">
        <f>'[5]FOFIR  INCREMENTO'!N21+'[5]FFOR ESTIMACIONES'!N21</f>
        <v>75403.363201752378</v>
      </c>
      <c r="N18" s="666">
        <f t="shared" si="0"/>
        <v>1022984.9926132861</v>
      </c>
      <c r="P18" s="667"/>
    </row>
    <row r="19" spans="1:16" ht="12.75" customHeight="1" x14ac:dyDescent="0.2">
      <c r="A19" s="663" t="s">
        <v>289</v>
      </c>
      <c r="B19" s="665">
        <f>'[5]FOFIR  INCREMENTO'!C22+'[5]FFOR ESTIMACIONES'!C22</f>
        <v>420065.61621562677</v>
      </c>
      <c r="C19" s="665">
        <f>'[5]FOFIR  INCREMENTO'!D22+'[5]FFOR ESTIMACIONES'!D22</f>
        <v>297399.6705633708</v>
      </c>
      <c r="D19" s="665">
        <f>'[5]FOFIR  INCREMENTO'!E22+'[5]FFOR ESTIMACIONES'!E22</f>
        <v>297399.6705633708</v>
      </c>
      <c r="E19" s="665">
        <f>'[5]FOFIR  INCREMENTO'!F22+'[5]FFOR ESTIMACIONES'!F22</f>
        <v>510738.40749591962</v>
      </c>
      <c r="F19" s="665">
        <f>'[5]FOFIR  INCREMENTO'!G22+'[5]FFOR ESTIMACIONES'!G22</f>
        <v>297399.6705633708</v>
      </c>
      <c r="G19" s="665">
        <f>'[5]FOFIR  INCREMENTO'!H22+'[5]FFOR ESTIMACIONES'!H22</f>
        <v>297399.6705633708</v>
      </c>
      <c r="H19" s="665">
        <f>'[5]FOFIR  INCREMENTO'!I22+'[5]FFOR ESTIMACIONES'!I22</f>
        <v>429274.62224649225</v>
      </c>
      <c r="I19" s="665">
        <f>'[5]FOFIR  INCREMENTO'!J22+'[5]FFOR ESTIMACIONES'!J22</f>
        <v>297399.6705633708</v>
      </c>
      <c r="J19" s="665">
        <f>'[5]FOFIR  INCREMENTO'!K22+'[5]FFOR ESTIMACIONES'!K22</f>
        <v>297399.6705633708</v>
      </c>
      <c r="K19" s="665">
        <f>'[5]FOFIR  INCREMENTO'!L22+'[5]FFOR ESTIMACIONES'!L22</f>
        <v>440262.99265450577</v>
      </c>
      <c r="L19" s="665">
        <f>'[5]FOFIR  INCREMENTO'!M22+'[5]FFOR ESTIMACIONES'!M22</f>
        <v>297399.67056337092</v>
      </c>
      <c r="M19" s="665">
        <f>'[5]FOFIR  INCREMENTO'!N22+'[5]FFOR ESTIMACIONES'!N22</f>
        <v>297399.67056337092</v>
      </c>
      <c r="N19" s="666">
        <f t="shared" si="0"/>
        <v>4179539.0031195115</v>
      </c>
      <c r="P19" s="667"/>
    </row>
    <row r="20" spans="1:16" ht="12.75" customHeight="1" x14ac:dyDescent="0.2">
      <c r="A20" s="663" t="s">
        <v>163</v>
      </c>
      <c r="B20" s="665">
        <f>'[5]FOFIR  INCREMENTO'!C23+'[5]FFOR ESTIMACIONES'!C23</f>
        <v>170533.97903100238</v>
      </c>
      <c r="C20" s="665">
        <f>'[5]FOFIR  INCREMENTO'!D23+'[5]FFOR ESTIMACIONES'!D23</f>
        <v>129601.39277329139</v>
      </c>
      <c r="D20" s="665">
        <f>'[5]FOFIR  INCREMENTO'!E23+'[5]FFOR ESTIMACIONES'!E23</f>
        <v>129601.39277329139</v>
      </c>
      <c r="E20" s="665">
        <f>'[5]FOFIR  INCREMENTO'!F23+'[5]FFOR ESTIMACIONES'!F23</f>
        <v>202478.65253937428</v>
      </c>
      <c r="F20" s="665">
        <f>'[5]FOFIR  INCREMENTO'!G23+'[5]FFOR ESTIMACIONES'!G23</f>
        <v>129601.39277329139</v>
      </c>
      <c r="G20" s="665">
        <f>'[5]FOFIR  INCREMENTO'!H23+'[5]FFOR ESTIMACIONES'!H23</f>
        <v>129601.39277329139</v>
      </c>
      <c r="H20" s="665">
        <f>'[5]FOFIR  INCREMENTO'!I23+'[5]FFOR ESTIMACIONES'!I23</f>
        <v>170228.46891281396</v>
      </c>
      <c r="I20" s="665">
        <f>'[5]FOFIR  INCREMENTO'!J23+'[5]FFOR ESTIMACIONES'!J23</f>
        <v>129601.3927732914</v>
      </c>
      <c r="J20" s="665">
        <f>'[5]FOFIR  INCREMENTO'!K23+'[5]FFOR ESTIMACIONES'!K23</f>
        <v>129601.3927732914</v>
      </c>
      <c r="K20" s="665">
        <f>'[5]FOFIR  INCREMENTO'!L23+'[5]FFOR ESTIMACIONES'!L23</f>
        <v>176693.59722003041</v>
      </c>
      <c r="L20" s="665">
        <f>'[5]FOFIR  INCREMENTO'!M23+'[5]FFOR ESTIMACIONES'!M23</f>
        <v>129601.39277329143</v>
      </c>
      <c r="M20" s="665">
        <f>'[5]FOFIR  INCREMENTO'!N23+'[5]FFOR ESTIMACIONES'!N23</f>
        <v>129601.39277329143</v>
      </c>
      <c r="N20" s="666">
        <f t="shared" si="0"/>
        <v>1756745.839889552</v>
      </c>
      <c r="P20" s="667"/>
    </row>
    <row r="21" spans="1:16" ht="12.75" customHeight="1" x14ac:dyDescent="0.2">
      <c r="A21" s="663" t="s">
        <v>164</v>
      </c>
      <c r="B21" s="665">
        <f>'[5]FOFIR  INCREMENTO'!C24+'[5]FFOR ESTIMACIONES'!C24</f>
        <v>4412920.4130918365</v>
      </c>
      <c r="C21" s="665">
        <f>'[5]FOFIR  INCREMENTO'!D24+'[5]FFOR ESTIMACIONES'!D24</f>
        <v>1495464.6506116232</v>
      </c>
      <c r="D21" s="665">
        <f>'[5]FOFIR  INCREMENTO'!E24+'[5]FFOR ESTIMACIONES'!E24</f>
        <v>1495464.6506116232</v>
      </c>
      <c r="E21" s="665">
        <f>'[5]FOFIR  INCREMENTO'!F24+'[5]FFOR ESTIMACIONES'!F24</f>
        <v>6259364.9387764577</v>
      </c>
      <c r="F21" s="665">
        <f>'[5]FOFIR  INCREMENTO'!G24+'[5]FFOR ESTIMACIONES'!G24</f>
        <v>1495464.6506116232</v>
      </c>
      <c r="G21" s="665">
        <f>'[5]FOFIR  INCREMENTO'!H24+'[5]FFOR ESTIMACIONES'!H24</f>
        <v>1495464.6506116232</v>
      </c>
      <c r="H21" s="665">
        <f>'[5]FOFIR  INCREMENTO'!I24+'[5]FFOR ESTIMACIONES'!I24</f>
        <v>5252613.6326778764</v>
      </c>
      <c r="I21" s="665">
        <f>'[5]FOFIR  INCREMENTO'!J24+'[5]FFOR ESTIMACIONES'!J24</f>
        <v>1495464.6506116227</v>
      </c>
      <c r="J21" s="665">
        <f>'[5]FOFIR  INCREMENTO'!K24+'[5]FFOR ESTIMACIONES'!K24</f>
        <v>1495464.6506116227</v>
      </c>
      <c r="K21" s="665">
        <f>'[5]FOFIR  INCREMENTO'!L24+'[5]FFOR ESTIMACIONES'!L24</f>
        <v>4999856.7513061259</v>
      </c>
      <c r="L21" s="665">
        <f>'[5]FOFIR  INCREMENTO'!M24+'[5]FFOR ESTIMACIONES'!M24</f>
        <v>1495464.650611623</v>
      </c>
      <c r="M21" s="665">
        <f>'[5]FOFIR  INCREMENTO'!N24+'[5]FFOR ESTIMACIONES'!N24</f>
        <v>1495464.650611623</v>
      </c>
      <c r="N21" s="666">
        <f t="shared" si="0"/>
        <v>32888472.940745287</v>
      </c>
      <c r="P21" s="667"/>
    </row>
    <row r="22" spans="1:16" ht="12.75" customHeight="1" x14ac:dyDescent="0.2">
      <c r="A22" s="663" t="s">
        <v>165</v>
      </c>
      <c r="B22" s="665">
        <f>'[5]FOFIR  INCREMENTO'!C25+'[5]FFOR ESTIMACIONES'!C25</f>
        <v>129036.36345567444</v>
      </c>
      <c r="C22" s="665">
        <f>'[5]FOFIR  INCREMENTO'!D25+'[5]FFOR ESTIMACIONES'!D25</f>
        <v>99018.198689019351</v>
      </c>
      <c r="D22" s="665">
        <f>'[5]FOFIR  INCREMENTO'!E25+'[5]FFOR ESTIMACIONES'!E25</f>
        <v>99018.198689019351</v>
      </c>
      <c r="E22" s="665">
        <f>'[5]FOFIR  INCREMENTO'!F25+'[5]FFOR ESTIMACIONES'!F25</f>
        <v>152684.13042086223</v>
      </c>
      <c r="F22" s="665">
        <f>'[5]FOFIR  INCREMENTO'!G25+'[5]FFOR ESTIMACIONES'!G25</f>
        <v>99018.198689019351</v>
      </c>
      <c r="G22" s="665">
        <f>'[5]FOFIR  INCREMENTO'!H25+'[5]FFOR ESTIMACIONES'!H25</f>
        <v>99018.198689019351</v>
      </c>
      <c r="H22" s="665">
        <f>'[5]FOFIR  INCREMENTO'!I25+'[5]FFOR ESTIMACIONES'!I25</f>
        <v>128370.08658560559</v>
      </c>
      <c r="I22" s="665">
        <f>'[5]FOFIR  INCREMENTO'!J25+'[5]FFOR ESTIMACIONES'!J25</f>
        <v>99018.198689019366</v>
      </c>
      <c r="J22" s="665">
        <f>'[5]FOFIR  INCREMENTO'!K25+'[5]FFOR ESTIMACIONES'!K25</f>
        <v>99018.198689019366</v>
      </c>
      <c r="K22" s="665">
        <f>'[5]FOFIR  INCREMENTO'!L25+'[5]FFOR ESTIMACIONES'!L25</f>
        <v>133477.62796442886</v>
      </c>
      <c r="L22" s="665">
        <f>'[5]FOFIR  INCREMENTO'!M25+'[5]FFOR ESTIMACIONES'!M25</f>
        <v>99018.198689019395</v>
      </c>
      <c r="M22" s="665">
        <f>'[5]FOFIR  INCREMENTO'!N25+'[5]FFOR ESTIMACIONES'!N25</f>
        <v>99018.198689019395</v>
      </c>
      <c r="N22" s="666">
        <f t="shared" si="0"/>
        <v>1335713.7979387259</v>
      </c>
      <c r="P22" s="667"/>
    </row>
    <row r="23" spans="1:16" ht="12.75" customHeight="1" thickBot="1" x14ac:dyDescent="0.25">
      <c r="A23" s="663" t="s">
        <v>166</v>
      </c>
      <c r="B23" s="665">
        <f>'[5]FOFIR  INCREMENTO'!C26+'[5]FFOR ESTIMACIONES'!C26</f>
        <v>252294.59741357152</v>
      </c>
      <c r="C23" s="665">
        <f>'[5]FOFIR  INCREMENTO'!D26+'[5]FFOR ESTIMACIONES'!D26</f>
        <v>155725.51565779196</v>
      </c>
      <c r="D23" s="665">
        <f>'[5]FOFIR  INCREMENTO'!E26+'[5]FFOR ESTIMACIONES'!E26</f>
        <v>155725.51565779196</v>
      </c>
      <c r="E23" s="665">
        <f>'[5]FOFIR  INCREMENTO'!F26+'[5]FFOR ESTIMACIONES'!F26</f>
        <v>319318.22507719009</v>
      </c>
      <c r="F23" s="665">
        <f>'[5]FOFIR  INCREMENTO'!G26+'[5]FFOR ESTIMACIONES'!G26</f>
        <v>155725.51565779196</v>
      </c>
      <c r="G23" s="665">
        <f>'[5]FOFIR  INCREMENTO'!H26+'[5]FFOR ESTIMACIONES'!H26</f>
        <v>155725.51565779196</v>
      </c>
      <c r="H23" s="665">
        <f>'[5]FOFIR  INCREMENTO'!I26+'[5]FFOR ESTIMACIONES'!I26</f>
        <v>268268.68315012148</v>
      </c>
      <c r="I23" s="665">
        <f>'[5]FOFIR  INCREMENTO'!J26+'[5]FFOR ESTIMACIONES'!J26</f>
        <v>155725.51565779193</v>
      </c>
      <c r="J23" s="665">
        <f>'[5]FOFIR  INCREMENTO'!K26+'[5]FFOR ESTIMACIONES'!K26</f>
        <v>155725.51565779193</v>
      </c>
      <c r="K23" s="665">
        <f>'[5]FOFIR  INCREMENTO'!L26+'[5]FFOR ESTIMACIONES'!L26</f>
        <v>269692.96717135882</v>
      </c>
      <c r="L23" s="665">
        <f>'[5]FOFIR  INCREMENTO'!M26+'[5]FFOR ESTIMACIONES'!M26</f>
        <v>155725.51565779198</v>
      </c>
      <c r="M23" s="665">
        <f>'[5]FOFIR  INCREMENTO'!N26+'[5]FFOR ESTIMACIONES'!N26</f>
        <v>155725.51565779198</v>
      </c>
      <c r="N23" s="666">
        <f t="shared" si="0"/>
        <v>2355378.5980745773</v>
      </c>
      <c r="P23" s="667"/>
    </row>
    <row r="24" spans="1:16" ht="13.5" thickBot="1" x14ac:dyDescent="0.25">
      <c r="A24" s="668" t="s">
        <v>290</v>
      </c>
      <c r="B24" s="670">
        <f t="shared" ref="B24:M24" si="1">SUM(B4:B23)</f>
        <v>8600323.0550843012</v>
      </c>
      <c r="C24" s="670">
        <f t="shared" si="1"/>
        <v>3786233.6736040069</v>
      </c>
      <c r="D24" s="670">
        <f t="shared" si="1"/>
        <v>3786233.6736040069</v>
      </c>
      <c r="E24" s="670">
        <f t="shared" si="1"/>
        <v>11720443.243427617</v>
      </c>
      <c r="F24" s="670">
        <f t="shared" si="1"/>
        <v>3786233.6736040069</v>
      </c>
      <c r="G24" s="670">
        <f t="shared" si="1"/>
        <v>3786233.6736040069</v>
      </c>
      <c r="H24" s="670">
        <f t="shared" si="1"/>
        <v>9839176.3666764665</v>
      </c>
      <c r="I24" s="670">
        <f t="shared" si="1"/>
        <v>3786233.6736040059</v>
      </c>
      <c r="J24" s="670">
        <f t="shared" si="1"/>
        <v>3786233.6736040059</v>
      </c>
      <c r="K24" s="670">
        <f t="shared" si="1"/>
        <v>9543633.8618403543</v>
      </c>
      <c r="L24" s="670">
        <f t="shared" si="1"/>
        <v>3786233.6736040064</v>
      </c>
      <c r="M24" s="670">
        <f t="shared" si="1"/>
        <v>3786233.6736040064</v>
      </c>
      <c r="N24" s="670">
        <f t="shared" si="0"/>
        <v>69993445.915860787</v>
      </c>
    </row>
    <row r="25" spans="1:16" x14ac:dyDescent="0.2">
      <c r="A25" s="671"/>
      <c r="B25" s="671"/>
      <c r="C25" s="671"/>
      <c r="D25" s="671"/>
      <c r="E25" s="671"/>
      <c r="F25" s="671"/>
      <c r="G25" s="671"/>
      <c r="H25" s="671"/>
      <c r="I25" s="671"/>
      <c r="J25" s="671"/>
      <c r="K25" s="671"/>
      <c r="L25" s="671"/>
      <c r="M25" s="671"/>
      <c r="N25" s="671"/>
    </row>
    <row r="26" spans="1:16" x14ac:dyDescent="0.2">
      <c r="A26" s="672" t="s">
        <v>291</v>
      </c>
    </row>
  </sheetData>
  <mergeCells count="1">
    <mergeCell ref="A1:N1"/>
  </mergeCells>
  <printOptions horizontalCentered="1"/>
  <pageMargins left="0.70866141732283472" right="0.47244094488188981" top="0.98425196850393704" bottom="0.98425196850393704" header="0" footer="0"/>
  <pageSetup paperSize="5" orientation="landscape"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2"/>
  <dimension ref="A1:Q26"/>
  <sheetViews>
    <sheetView workbookViewId="0">
      <selection sqref="A1:O1"/>
    </sheetView>
  </sheetViews>
  <sheetFormatPr baseColWidth="10" defaultRowHeight="12.75" x14ac:dyDescent="0.2"/>
  <cols>
    <col min="1" max="1" width="16.5703125" style="658" customWidth="1"/>
    <col min="2" max="2" width="9.28515625" style="658" hidden="1" customWidth="1"/>
    <col min="3" max="3" width="6.5703125" style="658" bestFit="1" customWidth="1"/>
    <col min="4" max="4" width="7.7109375" style="658" bestFit="1" customWidth="1"/>
    <col min="5" max="9" width="6.5703125" style="658" bestFit="1" customWidth="1"/>
    <col min="10" max="10" width="7.42578125" style="658" bestFit="1" customWidth="1"/>
    <col min="11" max="11" width="9.7109375" style="658" bestFit="1" customWidth="1"/>
    <col min="12" max="12" width="7.85546875" style="658" bestFit="1" customWidth="1"/>
    <col min="13" max="13" width="9.42578125" style="658" bestFit="1" customWidth="1"/>
    <col min="14" max="14" width="8.42578125" style="658" bestFit="1" customWidth="1"/>
    <col min="15" max="15" width="7.85546875" style="658" bestFit="1" customWidth="1"/>
    <col min="16" max="16" width="12.7109375" style="658" bestFit="1" customWidth="1"/>
    <col min="17" max="16384" width="11.42578125" style="658"/>
  </cols>
  <sheetData>
    <row r="1" spans="1:17" x14ac:dyDescent="0.2">
      <c r="A1" s="1020"/>
      <c r="B1" s="1020"/>
      <c r="C1" s="1020"/>
      <c r="D1" s="1020"/>
      <c r="E1" s="1020"/>
      <c r="F1" s="1020"/>
      <c r="G1" s="1020"/>
      <c r="H1" s="1020"/>
      <c r="I1" s="1020"/>
      <c r="J1" s="1020"/>
      <c r="K1" s="1020"/>
      <c r="L1" s="1020"/>
      <c r="M1" s="1020"/>
      <c r="N1" s="1020"/>
      <c r="O1" s="1020"/>
    </row>
    <row r="2" spans="1:17" x14ac:dyDescent="0.2">
      <c r="A2" s="1021" t="s">
        <v>472</v>
      </c>
      <c r="B2" s="1021"/>
      <c r="C2" s="1021"/>
      <c r="D2" s="1021"/>
      <c r="E2" s="1021"/>
      <c r="F2" s="1021"/>
      <c r="G2" s="1021"/>
      <c r="H2" s="1021"/>
      <c r="I2" s="1021"/>
      <c r="J2" s="1021"/>
      <c r="K2" s="1021"/>
      <c r="L2" s="1021"/>
      <c r="M2" s="1021"/>
      <c r="N2" s="1021"/>
      <c r="O2" s="1021"/>
    </row>
    <row r="3" spans="1:17" ht="13.5" thickBot="1" x14ac:dyDescent="0.25"/>
    <row r="4" spans="1:17" ht="23.25" thickBot="1" x14ac:dyDescent="0.25">
      <c r="A4" s="659" t="s">
        <v>351</v>
      </c>
      <c r="B4" s="661" t="s">
        <v>283</v>
      </c>
      <c r="C4" s="659" t="s">
        <v>1</v>
      </c>
      <c r="D4" s="661" t="s">
        <v>2</v>
      </c>
      <c r="E4" s="659" t="s">
        <v>3</v>
      </c>
      <c r="F4" s="661" t="s">
        <v>4</v>
      </c>
      <c r="G4" s="659" t="s">
        <v>5</v>
      </c>
      <c r="H4" s="659" t="s">
        <v>6</v>
      </c>
      <c r="I4" s="659" t="s">
        <v>7</v>
      </c>
      <c r="J4" s="661" t="s">
        <v>8</v>
      </c>
      <c r="K4" s="659" t="s">
        <v>9</v>
      </c>
      <c r="L4" s="661" t="s">
        <v>10</v>
      </c>
      <c r="M4" s="659" t="s">
        <v>11</v>
      </c>
      <c r="N4" s="659" t="s">
        <v>12</v>
      </c>
      <c r="O4" s="662" t="s">
        <v>169</v>
      </c>
    </row>
    <row r="5" spans="1:17" x14ac:dyDescent="0.2">
      <c r="A5" s="663" t="s">
        <v>284</v>
      </c>
      <c r="B5" s="664">
        <f>FGP!U8</f>
        <v>3.6801172209122921</v>
      </c>
      <c r="C5" s="665">
        <f>$C$25*B5/100</f>
        <v>29740.563958786173</v>
      </c>
      <c r="D5" s="665">
        <f>$D$25*B5/100</f>
        <v>17404.121447981208</v>
      </c>
      <c r="E5" s="665">
        <f>$E$25*B5/100</f>
        <v>13582.547731287645</v>
      </c>
      <c r="F5" s="665">
        <f>$F$25*B5/100</f>
        <v>13181.600784385753</v>
      </c>
      <c r="G5" s="665">
        <f>$G$25*B5/100</f>
        <v>14953.602136619147</v>
      </c>
      <c r="H5" s="665">
        <f>$H$25*B5/100</f>
        <v>13487.217051024922</v>
      </c>
      <c r="I5" s="665">
        <f>$I$25*B5/100</f>
        <v>15550.807902559256</v>
      </c>
      <c r="J5" s="665">
        <f>$J$25*B5/100</f>
        <v>16888.219594965587</v>
      </c>
      <c r="K5" s="665">
        <f>$K$25*B5/100</f>
        <v>17463.002405798306</v>
      </c>
      <c r="L5" s="665">
        <f>$L$25*B5/100</f>
        <v>18786.387330866412</v>
      </c>
      <c r="M5" s="665">
        <f>$M$25*B5/100</f>
        <v>18744.331869643931</v>
      </c>
      <c r="N5" s="665">
        <f>$N$25*B5/100</f>
        <v>21113.538987817439</v>
      </c>
      <c r="O5" s="666">
        <f>SUM(C5:N5)</f>
        <v>210895.94120173578</v>
      </c>
      <c r="P5" s="667"/>
      <c r="Q5" s="667"/>
    </row>
    <row r="6" spans="1:17" x14ac:dyDescent="0.2">
      <c r="A6" s="663" t="s">
        <v>148</v>
      </c>
      <c r="B6" s="664">
        <f>FGP!U9</f>
        <v>2.5424050023415425</v>
      </c>
      <c r="C6" s="665">
        <f t="shared" ref="C6:C24" si="0">$C$25*B6/100</f>
        <v>20546.236449102125</v>
      </c>
      <c r="D6" s="665">
        <f t="shared" ref="D6:D24" si="1">$D$25*B6/100</f>
        <v>12023.618481298839</v>
      </c>
      <c r="E6" s="665">
        <f t="shared" ref="E6:E24" si="2">$E$25*B6/100</f>
        <v>9383.4884118196642</v>
      </c>
      <c r="F6" s="665">
        <f t="shared" ref="F6:F24" si="3">$F$25*B6/100</f>
        <v>9106.494647141637</v>
      </c>
      <c r="G6" s="665">
        <f t="shared" ref="G6:G24" si="4">$G$25*B6/100</f>
        <v>10330.679865067206</v>
      </c>
      <c r="H6" s="665">
        <f t="shared" ref="H6:H24" si="5">$H$25*B6/100</f>
        <v>9317.629314451975</v>
      </c>
      <c r="I6" s="665">
        <f t="shared" ref="I6:I24" si="6">$I$25*B6/100</f>
        <v>10743.258822640995</v>
      </c>
      <c r="J6" s="665">
        <f t="shared" ref="J6:J24" si="7">$J$25*B6/100</f>
        <v>11667.208244045845</v>
      </c>
      <c r="K6" s="665">
        <f t="shared" ref="K6:K24" si="8">$K$25*B6/100</f>
        <v>12064.29632733216</v>
      </c>
      <c r="L6" s="665">
        <f t="shared" ref="L6:L24" si="9">$L$25*B6/100</f>
        <v>12978.55537169012</v>
      </c>
      <c r="M6" s="665">
        <f t="shared" ref="M6:M24" si="10">$M$25*B6/100</f>
        <v>12949.501401783882</v>
      </c>
      <c r="N6" s="665">
        <f t="shared" ref="N6:N24" si="11">$N$25*B6/100</f>
        <v>14586.265577283246</v>
      </c>
      <c r="O6" s="666">
        <f t="shared" ref="O6:O24" si="12">SUM(C6:N6)</f>
        <v>145697.2329136577</v>
      </c>
      <c r="P6" s="667"/>
    </row>
    <row r="7" spans="1:17" x14ac:dyDescent="0.2">
      <c r="A7" s="663" t="s">
        <v>149</v>
      </c>
      <c r="B7" s="664">
        <f>FGP!U10</f>
        <v>2.6237819217741962</v>
      </c>
      <c r="C7" s="665">
        <f t="shared" si="0"/>
        <v>21203.877315377536</v>
      </c>
      <c r="D7" s="665">
        <f t="shared" si="1"/>
        <v>12408.46866509744</v>
      </c>
      <c r="E7" s="665">
        <f t="shared" si="2"/>
        <v>9683.833706838599</v>
      </c>
      <c r="F7" s="665">
        <f t="shared" si="3"/>
        <v>9397.9739671287462</v>
      </c>
      <c r="G7" s="665">
        <f t="shared" si="4"/>
        <v>10661.342722593779</v>
      </c>
      <c r="H7" s="665">
        <f t="shared" si="5"/>
        <v>9615.8666013229304</v>
      </c>
      <c r="I7" s="665">
        <f t="shared" si="6"/>
        <v>11087.127445794669</v>
      </c>
      <c r="J7" s="665">
        <f t="shared" si="7"/>
        <v>12040.650502224726</v>
      </c>
      <c r="K7" s="665">
        <f t="shared" si="8"/>
        <v>12450.448521548573</v>
      </c>
      <c r="L7" s="665">
        <f t="shared" si="9"/>
        <v>13393.971032791145</v>
      </c>
      <c r="M7" s="665">
        <f t="shared" si="10"/>
        <v>13363.987107757346</v>
      </c>
      <c r="N7" s="665">
        <f t="shared" si="11"/>
        <v>15053.140586423275</v>
      </c>
      <c r="O7" s="666">
        <f t="shared" si="12"/>
        <v>150360.68817489877</v>
      </c>
      <c r="P7" s="667"/>
    </row>
    <row r="8" spans="1:17" x14ac:dyDescent="0.2">
      <c r="A8" s="663" t="s">
        <v>285</v>
      </c>
      <c r="B8" s="664">
        <f>FGP!U11</f>
        <v>10.811611930172436</v>
      </c>
      <c r="C8" s="665">
        <f t="shared" si="0"/>
        <v>87373.150583273848</v>
      </c>
      <c r="D8" s="665">
        <f t="shared" si="1"/>
        <v>51130.601496035379</v>
      </c>
      <c r="E8" s="665">
        <f t="shared" si="2"/>
        <v>39903.4123856855</v>
      </c>
      <c r="F8" s="665">
        <f t="shared" si="3"/>
        <v>38725.492625451319</v>
      </c>
      <c r="G8" s="665">
        <f t="shared" si="4"/>
        <v>43931.356952604176</v>
      </c>
      <c r="H8" s="665">
        <f t="shared" si="5"/>
        <v>39623.345676347257</v>
      </c>
      <c r="I8" s="665">
        <f t="shared" si="6"/>
        <v>45685.854593906282</v>
      </c>
      <c r="J8" s="665">
        <f t="shared" si="7"/>
        <v>49614.962103581725</v>
      </c>
      <c r="K8" s="665">
        <f t="shared" si="8"/>
        <v>51303.584590806888</v>
      </c>
      <c r="L8" s="665">
        <f t="shared" si="9"/>
        <v>55191.483639992548</v>
      </c>
      <c r="M8" s="665">
        <f t="shared" si="10"/>
        <v>55067.931236906552</v>
      </c>
      <c r="N8" s="665">
        <f t="shared" si="11"/>
        <v>62028.293205361522</v>
      </c>
      <c r="O8" s="666">
        <f t="shared" si="12"/>
        <v>619579.469089953</v>
      </c>
      <c r="P8" s="667"/>
    </row>
    <row r="9" spans="1:17" x14ac:dyDescent="0.2">
      <c r="A9" s="663" t="s">
        <v>151</v>
      </c>
      <c r="B9" s="664">
        <f>FGP!U12</f>
        <v>7.2261420913986409</v>
      </c>
      <c r="C9" s="665">
        <f t="shared" si="0"/>
        <v>58397.471641200224</v>
      </c>
      <c r="D9" s="665">
        <f t="shared" si="1"/>
        <v>34174.089304659195</v>
      </c>
      <c r="E9" s="665">
        <f t="shared" si="2"/>
        <v>26670.188468930824</v>
      </c>
      <c r="F9" s="665">
        <f t="shared" si="3"/>
        <v>25882.903870233371</v>
      </c>
      <c r="G9" s="665">
        <f t="shared" si="4"/>
        <v>29362.340200311672</v>
      </c>
      <c r="H9" s="665">
        <f t="shared" si="5"/>
        <v>26483.000670310277</v>
      </c>
      <c r="I9" s="665">
        <f t="shared" si="6"/>
        <v>30534.991358802756</v>
      </c>
      <c r="J9" s="665">
        <f t="shared" si="7"/>
        <v>33161.083503125905</v>
      </c>
      <c r="K9" s="665">
        <f t="shared" si="8"/>
        <v>34289.705776125425</v>
      </c>
      <c r="L9" s="665">
        <f t="shared" si="9"/>
        <v>36888.255478785832</v>
      </c>
      <c r="M9" s="665">
        <f t="shared" si="10"/>
        <v>36805.676930258618</v>
      </c>
      <c r="N9" s="665">
        <f t="shared" si="11"/>
        <v>41457.76441882801</v>
      </c>
      <c r="O9" s="666">
        <f t="shared" si="12"/>
        <v>414107.4716215721</v>
      </c>
      <c r="P9" s="667"/>
    </row>
    <row r="10" spans="1:17" x14ac:dyDescent="0.2">
      <c r="A10" s="663" t="s">
        <v>286</v>
      </c>
      <c r="B10" s="664">
        <f>FGP!U13</f>
        <v>3.8727652527570857</v>
      </c>
      <c r="C10" s="665">
        <f t="shared" si="0"/>
        <v>31297.433147641532</v>
      </c>
      <c r="D10" s="665">
        <f t="shared" si="1"/>
        <v>18315.198335393554</v>
      </c>
      <c r="E10" s="665">
        <f t="shared" si="2"/>
        <v>14293.571573952599</v>
      </c>
      <c r="F10" s="665">
        <f t="shared" si="3"/>
        <v>13871.635719481163</v>
      </c>
      <c r="G10" s="665">
        <f t="shared" si="4"/>
        <v>15736.398403064062</v>
      </c>
      <c r="H10" s="665">
        <f t="shared" si="5"/>
        <v>14193.250490715027</v>
      </c>
      <c r="I10" s="665">
        <f t="shared" si="6"/>
        <v>16364.86690019136</v>
      </c>
      <c r="J10" s="665">
        <f t="shared" si="7"/>
        <v>17772.289876163391</v>
      </c>
      <c r="K10" s="665">
        <f t="shared" si="8"/>
        <v>18377.161613679178</v>
      </c>
      <c r="L10" s="665">
        <f t="shared" si="9"/>
        <v>19769.823544310777</v>
      </c>
      <c r="M10" s="665">
        <f t="shared" si="10"/>
        <v>19725.566549455943</v>
      </c>
      <c r="N10" s="665">
        <f t="shared" si="11"/>
        <v>22218.797730166149</v>
      </c>
      <c r="O10" s="666">
        <f t="shared" si="12"/>
        <v>221935.99388421475</v>
      </c>
      <c r="P10" s="667"/>
    </row>
    <row r="11" spans="1:17" x14ac:dyDescent="0.2">
      <c r="A11" s="663" t="s">
        <v>153</v>
      </c>
      <c r="B11" s="664">
        <f>FGP!U14</f>
        <v>2.7904185385530926</v>
      </c>
      <c r="C11" s="665">
        <f t="shared" si="0"/>
        <v>22550.537397569147</v>
      </c>
      <c r="D11" s="665">
        <f t="shared" si="1"/>
        <v>13196.531583207876</v>
      </c>
      <c r="E11" s="665">
        <f t="shared" si="2"/>
        <v>10298.854823100372</v>
      </c>
      <c r="F11" s="665">
        <f t="shared" si="3"/>
        <v>9994.8401065979579</v>
      </c>
      <c r="G11" s="665">
        <f t="shared" si="4"/>
        <v>11338.445520989471</v>
      </c>
      <c r="H11" s="665">
        <f t="shared" si="5"/>
        <v>10226.571120835029</v>
      </c>
      <c r="I11" s="665">
        <f t="shared" si="6"/>
        <v>11791.271868786342</v>
      </c>
      <c r="J11" s="665">
        <f t="shared" si="7"/>
        <v>12805.353256999068</v>
      </c>
      <c r="K11" s="665">
        <f t="shared" si="8"/>
        <v>13241.177583972998</v>
      </c>
      <c r="L11" s="665">
        <f t="shared" si="9"/>
        <v>14244.623291508451</v>
      </c>
      <c r="M11" s="665">
        <f t="shared" si="10"/>
        <v>14212.735084802493</v>
      </c>
      <c r="N11" s="665">
        <f t="shared" si="11"/>
        <v>16009.166846990882</v>
      </c>
      <c r="O11" s="666">
        <f t="shared" si="12"/>
        <v>159910.10848536008</v>
      </c>
      <c r="P11" s="667"/>
    </row>
    <row r="12" spans="1:17" x14ac:dyDescent="0.2">
      <c r="A12" s="663" t="s">
        <v>154</v>
      </c>
      <c r="B12" s="664">
        <f>FGP!U15</f>
        <v>3.3598990994718916</v>
      </c>
      <c r="C12" s="665">
        <f t="shared" si="0"/>
        <v>27152.747606811452</v>
      </c>
      <c r="D12" s="665">
        <f t="shared" si="1"/>
        <v>15889.736242063349</v>
      </c>
      <c r="E12" s="665">
        <f t="shared" si="2"/>
        <v>12400.689204017879</v>
      </c>
      <c r="F12" s="665">
        <f t="shared" si="3"/>
        <v>12034.629862707627</v>
      </c>
      <c r="G12" s="665">
        <f t="shared" si="4"/>
        <v>13652.444021941401</v>
      </c>
      <c r="H12" s="665">
        <f t="shared" si="5"/>
        <v>12313.65353435316</v>
      </c>
      <c r="I12" s="665">
        <f t="shared" si="6"/>
        <v>14197.685109312029</v>
      </c>
      <c r="J12" s="665">
        <f t="shared" si="7"/>
        <v>15418.724568436995</v>
      </c>
      <c r="K12" s="665">
        <f t="shared" si="8"/>
        <v>15943.493789790773</v>
      </c>
      <c r="L12" s="665">
        <f t="shared" si="9"/>
        <v>17151.7269929953</v>
      </c>
      <c r="M12" s="665">
        <f t="shared" si="10"/>
        <v>17113.330904553786</v>
      </c>
      <c r="N12" s="665">
        <f t="shared" si="11"/>
        <v>19276.386151158193</v>
      </c>
      <c r="O12" s="666">
        <f t="shared" si="12"/>
        <v>192545.24798814196</v>
      </c>
      <c r="P12" s="667"/>
    </row>
    <row r="13" spans="1:17" x14ac:dyDescent="0.2">
      <c r="A13" s="663" t="s">
        <v>155</v>
      </c>
      <c r="B13" s="664">
        <f>FGP!U16</f>
        <v>3.2387652857906701</v>
      </c>
      <c r="C13" s="665">
        <f t="shared" si="0"/>
        <v>26173.814676934569</v>
      </c>
      <c r="D13" s="665">
        <f t="shared" si="1"/>
        <v>15316.866553895514</v>
      </c>
      <c r="E13" s="665">
        <f t="shared" si="2"/>
        <v>11953.609476000351</v>
      </c>
      <c r="F13" s="665">
        <f t="shared" si="3"/>
        <v>11600.747603641923</v>
      </c>
      <c r="G13" s="665">
        <f t="shared" si="4"/>
        <v>13160.235011644903</v>
      </c>
      <c r="H13" s="665">
        <f t="shared" si="5"/>
        <v>11869.711687051882</v>
      </c>
      <c r="I13" s="665">
        <f t="shared" si="6"/>
        <v>13685.818624093357</v>
      </c>
      <c r="J13" s="665">
        <f t="shared" si="7"/>
        <v>14862.836176024053</v>
      </c>
      <c r="K13" s="665">
        <f t="shared" si="8"/>
        <v>15368.685990811395</v>
      </c>
      <c r="L13" s="665">
        <f t="shared" si="9"/>
        <v>16533.358988370626</v>
      </c>
      <c r="M13" s="665">
        <f t="shared" si="10"/>
        <v>16496.347186922758</v>
      </c>
      <c r="N13" s="665">
        <f t="shared" si="11"/>
        <v>18581.418207374198</v>
      </c>
      <c r="O13" s="666">
        <f t="shared" si="12"/>
        <v>185603.45018276555</v>
      </c>
      <c r="P13" s="667"/>
    </row>
    <row r="14" spans="1:17" x14ac:dyDescent="0.2">
      <c r="A14" s="663" t="s">
        <v>156</v>
      </c>
      <c r="B14" s="664">
        <f>FGP!U17</f>
        <v>2.4067721623105878</v>
      </c>
      <c r="C14" s="665">
        <f t="shared" si="0"/>
        <v>19450.130832973828</v>
      </c>
      <c r="D14" s="665">
        <f t="shared" si="1"/>
        <v>11382.179560054867</v>
      </c>
      <c r="E14" s="665">
        <f t="shared" si="2"/>
        <v>8882.89579124171</v>
      </c>
      <c r="F14" s="665">
        <f t="shared" si="3"/>
        <v>8620.6791572488182</v>
      </c>
      <c r="G14" s="665">
        <f t="shared" si="4"/>
        <v>9779.5562446136628</v>
      </c>
      <c r="H14" s="665">
        <f t="shared" si="5"/>
        <v>8820.5501610083393</v>
      </c>
      <c r="I14" s="665">
        <f t="shared" si="6"/>
        <v>10170.124839675893</v>
      </c>
      <c r="J14" s="665">
        <f t="shared" si="7"/>
        <v>11044.78318276919</v>
      </c>
      <c r="K14" s="665">
        <f t="shared" si="8"/>
        <v>11420.687314470701</v>
      </c>
      <c r="L14" s="665">
        <f t="shared" si="9"/>
        <v>12286.172245107184</v>
      </c>
      <c r="M14" s="665">
        <f t="shared" si="10"/>
        <v>12258.668253449465</v>
      </c>
      <c r="N14" s="665">
        <f t="shared" si="11"/>
        <v>13808.113935876543</v>
      </c>
      <c r="O14" s="666">
        <f t="shared" si="12"/>
        <v>137924.54151849021</v>
      </c>
      <c r="P14" s="667"/>
    </row>
    <row r="15" spans="1:17" x14ac:dyDescent="0.2">
      <c r="A15" s="663" t="s">
        <v>157</v>
      </c>
      <c r="B15" s="664">
        <f>FGP!U18</f>
        <v>3.6087000422530968</v>
      </c>
      <c r="C15" s="665">
        <f t="shared" si="0"/>
        <v>29163.411916563091</v>
      </c>
      <c r="D15" s="665">
        <f t="shared" si="1"/>
        <v>17066.373170890001</v>
      </c>
      <c r="E15" s="665">
        <f t="shared" si="2"/>
        <v>13318.961769280721</v>
      </c>
      <c r="F15" s="665">
        <f t="shared" si="3"/>
        <v>12925.795688590653</v>
      </c>
      <c r="G15" s="665">
        <f t="shared" si="4"/>
        <v>14663.40918588354</v>
      </c>
      <c r="H15" s="665">
        <f t="shared" si="5"/>
        <v>13225.481097540913</v>
      </c>
      <c r="I15" s="665">
        <f t="shared" si="6"/>
        <v>15249.025443032984</v>
      </c>
      <c r="J15" s="665">
        <f t="shared" si="7"/>
        <v>16560.483024729278</v>
      </c>
      <c r="K15" s="665">
        <f t="shared" si="8"/>
        <v>17124.111471657983</v>
      </c>
      <c r="L15" s="665">
        <f t="shared" si="9"/>
        <v>18421.814492603196</v>
      </c>
      <c r="M15" s="665">
        <f t="shared" si="10"/>
        <v>18380.575169076183</v>
      </c>
      <c r="N15" s="665">
        <f t="shared" si="11"/>
        <v>20703.804923518517</v>
      </c>
      <c r="O15" s="666">
        <f t="shared" si="12"/>
        <v>206803.2473533671</v>
      </c>
      <c r="P15" s="667"/>
    </row>
    <row r="16" spans="1:17" x14ac:dyDescent="0.2">
      <c r="A16" s="663" t="s">
        <v>158</v>
      </c>
      <c r="B16" s="664">
        <f>FGP!U19</f>
        <v>3.449447846465401</v>
      </c>
      <c r="C16" s="665">
        <f t="shared" si="0"/>
        <v>27876.428423894071</v>
      </c>
      <c r="D16" s="665">
        <f t="shared" si="1"/>
        <v>16313.232879434923</v>
      </c>
      <c r="E16" s="665">
        <f t="shared" si="2"/>
        <v>12731.195016007972</v>
      </c>
      <c r="F16" s="665">
        <f t="shared" si="3"/>
        <v>12355.379383104097</v>
      </c>
      <c r="G16" s="665">
        <f t="shared" si="4"/>
        <v>14016.311870162212</v>
      </c>
      <c r="H16" s="665">
        <f t="shared" si="5"/>
        <v>12641.83965312287</v>
      </c>
      <c r="I16" s="665">
        <f t="shared" si="6"/>
        <v>14576.084839216757</v>
      </c>
      <c r="J16" s="665">
        <f t="shared" si="7"/>
        <v>15829.667702282472</v>
      </c>
      <c r="K16" s="665">
        <f t="shared" si="8"/>
        <v>16368.423184783309</v>
      </c>
      <c r="L16" s="665">
        <f t="shared" si="9"/>
        <v>17608.858476866022</v>
      </c>
      <c r="M16" s="665">
        <f t="shared" si="10"/>
        <v>17569.439047690874</v>
      </c>
      <c r="N16" s="665">
        <f t="shared" si="11"/>
        <v>19790.144503803538</v>
      </c>
      <c r="O16" s="666">
        <f t="shared" si="12"/>
        <v>197677.00498036915</v>
      </c>
      <c r="P16" s="667"/>
    </row>
    <row r="17" spans="1:16" x14ac:dyDescent="0.2">
      <c r="A17" s="663" t="s">
        <v>159</v>
      </c>
      <c r="B17" s="664">
        <f>FGP!U20</f>
        <v>3.5775490353218853</v>
      </c>
      <c r="C17" s="665">
        <f t="shared" si="0"/>
        <v>28911.667621910266</v>
      </c>
      <c r="D17" s="665">
        <f t="shared" si="1"/>
        <v>16919.052888596572</v>
      </c>
      <c r="E17" s="665">
        <f t="shared" si="2"/>
        <v>13203.989877592996</v>
      </c>
      <c r="F17" s="665">
        <f t="shared" si="3"/>
        <v>12814.217683665836</v>
      </c>
      <c r="G17" s="665">
        <f t="shared" si="4"/>
        <v>14536.831760263134</v>
      </c>
      <c r="H17" s="665">
        <f t="shared" si="5"/>
        <v>13111.316149356171</v>
      </c>
      <c r="I17" s="665">
        <f t="shared" si="6"/>
        <v>15117.392862960311</v>
      </c>
      <c r="J17" s="665">
        <f t="shared" si="7"/>
        <v>16417.529685452715</v>
      </c>
      <c r="K17" s="665">
        <f t="shared" si="8"/>
        <v>16976.292781021839</v>
      </c>
      <c r="L17" s="665">
        <f t="shared" si="9"/>
        <v>18262.793774830745</v>
      </c>
      <c r="M17" s="665">
        <f t="shared" si="10"/>
        <v>18221.910437237166</v>
      </c>
      <c r="N17" s="665">
        <f t="shared" si="11"/>
        <v>20525.085616531644</v>
      </c>
      <c r="O17" s="666">
        <f t="shared" si="12"/>
        <v>205018.08113941943</v>
      </c>
      <c r="P17" s="667"/>
    </row>
    <row r="18" spans="1:16" x14ac:dyDescent="0.2">
      <c r="A18" s="663" t="s">
        <v>287</v>
      </c>
      <c r="B18" s="664">
        <f>FGP!U21</f>
        <v>2.7059321154728599</v>
      </c>
      <c r="C18" s="665">
        <f t="shared" si="0"/>
        <v>21867.767333890624</v>
      </c>
      <c r="D18" s="665">
        <f t="shared" si="1"/>
        <v>12796.975840896665</v>
      </c>
      <c r="E18" s="665">
        <f t="shared" si="2"/>
        <v>9987.0329964443863</v>
      </c>
      <c r="F18" s="665">
        <f t="shared" si="3"/>
        <v>9692.2230338547524</v>
      </c>
      <c r="G18" s="665">
        <f t="shared" si="4"/>
        <v>10995.147663652555</v>
      </c>
      <c r="H18" s="665">
        <f t="shared" si="5"/>
        <v>9916.937851690047</v>
      </c>
      <c r="I18" s="665">
        <f t="shared" si="6"/>
        <v>11434.263638660088</v>
      </c>
      <c r="J18" s="665">
        <f t="shared" si="7"/>
        <v>12417.641349980402</v>
      </c>
      <c r="K18" s="665">
        <f t="shared" si="8"/>
        <v>12840.270079961032</v>
      </c>
      <c r="L18" s="665">
        <f t="shared" si="9"/>
        <v>13813.334130618288</v>
      </c>
      <c r="M18" s="665">
        <f t="shared" si="10"/>
        <v>13782.411413671591</v>
      </c>
      <c r="N18" s="665">
        <f t="shared" si="11"/>
        <v>15524.452018476932</v>
      </c>
      <c r="O18" s="666">
        <f t="shared" si="12"/>
        <v>155068.45735179738</v>
      </c>
      <c r="P18" s="667"/>
    </row>
    <row r="19" spans="1:16" x14ac:dyDescent="0.2">
      <c r="A19" s="663" t="s">
        <v>288</v>
      </c>
      <c r="B19" s="664">
        <f>FGP!U22</f>
        <v>2.7608668836779993</v>
      </c>
      <c r="C19" s="665">
        <f t="shared" si="0"/>
        <v>22311.718134718925</v>
      </c>
      <c r="D19" s="665">
        <f t="shared" si="1"/>
        <v>13056.775004935773</v>
      </c>
      <c r="E19" s="665">
        <f t="shared" si="2"/>
        <v>10189.785807418313</v>
      </c>
      <c r="F19" s="665">
        <f t="shared" si="3"/>
        <v>9888.9907290651245</v>
      </c>
      <c r="G19" s="665">
        <f t="shared" si="4"/>
        <v>11218.366821601934</v>
      </c>
      <c r="H19" s="665">
        <f t="shared" si="5"/>
        <v>10118.267618638825</v>
      </c>
      <c r="I19" s="665">
        <f t="shared" si="6"/>
        <v>11666.397556209042</v>
      </c>
      <c r="J19" s="665">
        <f t="shared" si="7"/>
        <v>12669.739414567852</v>
      </c>
      <c r="K19" s="665">
        <f t="shared" si="8"/>
        <v>13100.948186592241</v>
      </c>
      <c r="L19" s="665">
        <f t="shared" si="9"/>
        <v>14093.767000410755</v>
      </c>
      <c r="M19" s="665">
        <f t="shared" si="10"/>
        <v>14062.216502642053</v>
      </c>
      <c r="N19" s="665">
        <f t="shared" si="11"/>
        <v>15839.623329785976</v>
      </c>
      <c r="O19" s="666">
        <f t="shared" si="12"/>
        <v>158216.5961065868</v>
      </c>
      <c r="P19" s="667"/>
    </row>
    <row r="20" spans="1:16" x14ac:dyDescent="0.2">
      <c r="A20" s="663" t="s">
        <v>289</v>
      </c>
      <c r="B20" s="664">
        <f>FGP!U23</f>
        <v>6.3582422540279442</v>
      </c>
      <c r="C20" s="665">
        <f t="shared" si="0"/>
        <v>51383.610648820031</v>
      </c>
      <c r="D20" s="665">
        <f t="shared" si="1"/>
        <v>30069.591195618457</v>
      </c>
      <c r="E20" s="665">
        <f t="shared" si="2"/>
        <v>23466.950566595206</v>
      </c>
      <c r="F20" s="665">
        <f t="shared" si="3"/>
        <v>22774.22322494191</v>
      </c>
      <c r="G20" s="665">
        <f t="shared" si="4"/>
        <v>25835.759908594609</v>
      </c>
      <c r="H20" s="665">
        <f t="shared" si="5"/>
        <v>23302.24506321958</v>
      </c>
      <c r="I20" s="665">
        <f t="shared" si="6"/>
        <v>26867.569143847231</v>
      </c>
      <c r="J20" s="665">
        <f t="shared" si="7"/>
        <v>29178.25302243873</v>
      </c>
      <c r="K20" s="665">
        <f t="shared" si="8"/>
        <v>30171.321486116514</v>
      </c>
      <c r="L20" s="665">
        <f t="shared" si="9"/>
        <v>32457.770923405289</v>
      </c>
      <c r="M20" s="665">
        <f t="shared" si="10"/>
        <v>32385.110517633995</v>
      </c>
      <c r="N20" s="665">
        <f t="shared" si="11"/>
        <v>36478.456436539331</v>
      </c>
      <c r="O20" s="666">
        <f t="shared" si="12"/>
        <v>364370.86213777086</v>
      </c>
      <c r="P20" s="667"/>
    </row>
    <row r="21" spans="1:16" x14ac:dyDescent="0.2">
      <c r="A21" s="663" t="s">
        <v>163</v>
      </c>
      <c r="B21" s="664">
        <f>FGP!U24</f>
        <v>3.8167955341115505</v>
      </c>
      <c r="C21" s="665">
        <f t="shared" si="0"/>
        <v>30845.118480142934</v>
      </c>
      <c r="D21" s="665">
        <f t="shared" si="1"/>
        <v>18050.504652491043</v>
      </c>
      <c r="E21" s="665">
        <f t="shared" si="2"/>
        <v>14086.998976022887</v>
      </c>
      <c r="F21" s="665">
        <f t="shared" si="3"/>
        <v>13671.160994652437</v>
      </c>
      <c r="G21" s="665">
        <f t="shared" si="4"/>
        <v>15508.973879853802</v>
      </c>
      <c r="H21" s="665">
        <f t="shared" si="5"/>
        <v>13988.127746426464</v>
      </c>
      <c r="I21" s="665">
        <f t="shared" si="6"/>
        <v>16128.359666652412</v>
      </c>
      <c r="J21" s="665">
        <f t="shared" si="7"/>
        <v>17515.44237853941</v>
      </c>
      <c r="K21" s="665">
        <f t="shared" si="8"/>
        <v>18111.572429235606</v>
      </c>
      <c r="L21" s="665">
        <f t="shared" si="9"/>
        <v>19484.107424373167</v>
      </c>
      <c r="M21" s="665">
        <f t="shared" si="10"/>
        <v>19440.4900374957</v>
      </c>
      <c r="N21" s="665">
        <f t="shared" si="11"/>
        <v>21897.688709495676</v>
      </c>
      <c r="O21" s="666">
        <f t="shared" si="12"/>
        <v>218728.54537538154</v>
      </c>
      <c r="P21" s="667"/>
    </row>
    <row r="22" spans="1:16" x14ac:dyDescent="0.2">
      <c r="A22" s="663" t="s">
        <v>164</v>
      </c>
      <c r="B22" s="664">
        <f>FGP!U25</f>
        <v>22.390571163586038</v>
      </c>
      <c r="C22" s="665">
        <f t="shared" si="0"/>
        <v>180947.55514317742</v>
      </c>
      <c r="D22" s="665">
        <f t="shared" si="1"/>
        <v>105890.16502145946</v>
      </c>
      <c r="E22" s="665">
        <f t="shared" si="2"/>
        <v>82638.94417059065</v>
      </c>
      <c r="F22" s="665">
        <f t="shared" si="3"/>
        <v>80199.502541825394</v>
      </c>
      <c r="G22" s="665">
        <f t="shared" si="4"/>
        <v>90980.714116742791</v>
      </c>
      <c r="H22" s="665">
        <f t="shared" si="5"/>
        <v>82058.933194753728</v>
      </c>
      <c r="I22" s="665">
        <f t="shared" si="6"/>
        <v>94614.233757258786</v>
      </c>
      <c r="J22" s="665">
        <f t="shared" si="7"/>
        <v>102751.31469143965</v>
      </c>
      <c r="K22" s="665">
        <f t="shared" si="8"/>
        <v>106248.40857649953</v>
      </c>
      <c r="L22" s="665">
        <f t="shared" si="9"/>
        <v>114300.14784533968</v>
      </c>
      <c r="M22" s="665">
        <f t="shared" si="10"/>
        <v>114044.27398567878</v>
      </c>
      <c r="N22" s="665">
        <f t="shared" si="11"/>
        <v>128459.0052011122</v>
      </c>
      <c r="O22" s="666">
        <f t="shared" si="12"/>
        <v>1283133.1982458781</v>
      </c>
      <c r="P22" s="667"/>
    </row>
    <row r="23" spans="1:16" x14ac:dyDescent="0.2">
      <c r="A23" s="663" t="s">
        <v>165</v>
      </c>
      <c r="B23" s="664">
        <f>FGP!U26</f>
        <v>3.6049459132695008</v>
      </c>
      <c r="C23" s="665">
        <f t="shared" si="0"/>
        <v>29133.073232645169</v>
      </c>
      <c r="D23" s="665">
        <f t="shared" si="1"/>
        <v>17048.619030779842</v>
      </c>
      <c r="E23" s="665">
        <f t="shared" si="2"/>
        <v>13305.106059517087</v>
      </c>
      <c r="F23" s="665">
        <f t="shared" si="3"/>
        <v>12912.34898931878</v>
      </c>
      <c r="G23" s="665">
        <f t="shared" si="4"/>
        <v>14648.154848094722</v>
      </c>
      <c r="H23" s="665">
        <f t="shared" si="5"/>
        <v>13211.722635676824</v>
      </c>
      <c r="I23" s="665">
        <f t="shared" si="6"/>
        <v>15233.161888922916</v>
      </c>
      <c r="J23" s="665">
        <f t="shared" si="7"/>
        <v>16543.25516190401</v>
      </c>
      <c r="K23" s="665">
        <f t="shared" si="8"/>
        <v>17106.297266420257</v>
      </c>
      <c r="L23" s="665">
        <f t="shared" si="9"/>
        <v>18402.65028751345</v>
      </c>
      <c r="M23" s="665">
        <f t="shared" si="10"/>
        <v>18361.453865235617</v>
      </c>
      <c r="N23" s="665">
        <f t="shared" si="11"/>
        <v>20682.266764839758</v>
      </c>
      <c r="O23" s="666">
        <f t="shared" si="12"/>
        <v>206588.11003086844</v>
      </c>
      <c r="P23" s="667"/>
    </row>
    <row r="24" spans="1:16" ht="13.5" thickBot="1" x14ac:dyDescent="0.25">
      <c r="A24" s="663" t="s">
        <v>166</v>
      </c>
      <c r="B24" s="664">
        <f>FGP!U27</f>
        <v>5.1742707063312778</v>
      </c>
      <c r="C24" s="665">
        <f t="shared" si="0"/>
        <v>41815.442184086511</v>
      </c>
      <c r="D24" s="665">
        <f t="shared" si="1"/>
        <v>24470.317213264472</v>
      </c>
      <c r="E24" s="665">
        <f t="shared" si="2"/>
        <v>19097.157678560532</v>
      </c>
      <c r="F24" s="665">
        <f t="shared" si="3"/>
        <v>18533.423450107577</v>
      </c>
      <c r="G24" s="665">
        <f t="shared" si="4"/>
        <v>21024.869819353316</v>
      </c>
      <c r="H24" s="665">
        <f t="shared" si="5"/>
        <v>18963.122071353497</v>
      </c>
      <c r="I24" s="665">
        <f t="shared" si="6"/>
        <v>21864.54532827366</v>
      </c>
      <c r="J24" s="665">
        <f t="shared" si="7"/>
        <v>23744.955577979657</v>
      </c>
      <c r="K24" s="665">
        <f t="shared" si="8"/>
        <v>24553.104254248508</v>
      </c>
      <c r="L24" s="665">
        <f t="shared" si="9"/>
        <v>26413.79277038301</v>
      </c>
      <c r="M24" s="665">
        <f t="shared" si="10"/>
        <v>26354.662495997134</v>
      </c>
      <c r="N24" s="665">
        <f t="shared" si="11"/>
        <v>29685.784374163224</v>
      </c>
      <c r="O24" s="666">
        <f t="shared" si="12"/>
        <v>296521.17721777107</v>
      </c>
      <c r="P24" s="667"/>
    </row>
    <row r="25" spans="1:16" ht="13.5" thickBot="1" x14ac:dyDescent="0.25">
      <c r="A25" s="668" t="s">
        <v>290</v>
      </c>
      <c r="B25" s="697">
        <f>SUM(B5:B24)</f>
        <v>100</v>
      </c>
      <c r="C25" s="670">
        <f>'X22.55 POE'!B85</f>
        <v>808141.75672951958</v>
      </c>
      <c r="D25" s="670">
        <f>'X22.55 POE'!C85</f>
        <v>472923.01856805448</v>
      </c>
      <c r="E25" s="670">
        <f>'X22.55 POE'!D85</f>
        <v>369079.21449090593</v>
      </c>
      <c r="F25" s="670">
        <f>'X22.55 POE'!E85</f>
        <v>358184.26406314492</v>
      </c>
      <c r="G25" s="670">
        <f>'X22.55 POE'!F85</f>
        <v>406334.94095365214</v>
      </c>
      <c r="H25" s="670">
        <f>'X22.55 POE'!G85</f>
        <v>366488.78938919975</v>
      </c>
      <c r="I25" s="670">
        <f>'X22.55 POE'!H85</f>
        <v>422562.84159079718</v>
      </c>
      <c r="J25" s="670">
        <f>'X22.55 POE'!I85</f>
        <v>458904.3930176507</v>
      </c>
      <c r="K25" s="670">
        <f>'X22.55 POE'!J85</f>
        <v>474522.99363087327</v>
      </c>
      <c r="L25" s="670">
        <f>'X22.55 POE'!K85</f>
        <v>510483.39504276204</v>
      </c>
      <c r="M25" s="670">
        <f>'X22.55 POE'!L85</f>
        <v>509340.61999789393</v>
      </c>
      <c r="N25" s="670">
        <f>'X22.55 POE'!M85</f>
        <v>573719.1975255463</v>
      </c>
      <c r="O25" s="670">
        <f>SUM(C25:N25)</f>
        <v>5730685.4249999989</v>
      </c>
    </row>
    <row r="26" spans="1:16" x14ac:dyDescent="0.2">
      <c r="A26" s="672" t="s">
        <v>291</v>
      </c>
      <c r="O26" s="667"/>
    </row>
  </sheetData>
  <mergeCells count="2">
    <mergeCell ref="A1:O1"/>
    <mergeCell ref="A2:O2"/>
  </mergeCells>
  <printOptions horizontalCentered="1"/>
  <pageMargins left="0.78740157480314965" right="0.78740157480314965" top="0.98425196850393704" bottom="0.98425196850393704" header="0" footer="0"/>
  <pageSetup paperSize="5" scale="90" orientation="landscape"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1"/>
  <dimension ref="A2:Q33"/>
  <sheetViews>
    <sheetView workbookViewId="0">
      <selection activeCell="I38" sqref="I38"/>
    </sheetView>
  </sheetViews>
  <sheetFormatPr baseColWidth="10" defaultRowHeight="15" x14ac:dyDescent="0.25"/>
  <cols>
    <col min="1" max="1" width="16.5703125" customWidth="1"/>
    <col min="2" max="2" width="9.28515625" hidden="1" customWidth="1"/>
    <col min="3" max="10" width="7.85546875" customWidth="1"/>
    <col min="11" max="11" width="10.140625" bestFit="1" customWidth="1"/>
    <col min="12" max="12" width="7.85546875" customWidth="1"/>
    <col min="13" max="14" width="10.140625" bestFit="1" customWidth="1"/>
    <col min="15" max="15" width="11.7109375" bestFit="1" customWidth="1"/>
    <col min="16" max="16" width="12.7109375" bestFit="1" customWidth="1"/>
  </cols>
  <sheetData>
    <row r="2" spans="1:17" s="658" customFormat="1" ht="12.75" x14ac:dyDescent="0.2">
      <c r="A2" s="1021" t="s">
        <v>473</v>
      </c>
      <c r="B2" s="1021"/>
      <c r="C2" s="1021"/>
      <c r="D2" s="1021"/>
      <c r="E2" s="1021"/>
      <c r="F2" s="1021"/>
      <c r="G2" s="1021"/>
      <c r="H2" s="1021"/>
      <c r="I2" s="1021"/>
      <c r="J2" s="1021"/>
      <c r="K2" s="1021"/>
      <c r="L2" s="1021"/>
      <c r="M2" s="1021"/>
      <c r="N2" s="1021"/>
      <c r="O2" s="1021"/>
    </row>
    <row r="3" spans="1:17" s="658" customFormat="1" ht="13.5" thickBot="1" x14ac:dyDescent="0.25"/>
    <row r="4" spans="1:17" s="658" customFormat="1" ht="23.25" customHeight="1" thickBot="1" x14ac:dyDescent="0.25">
      <c r="A4" s="659" t="s">
        <v>351</v>
      </c>
      <c r="B4" s="705" t="s">
        <v>283</v>
      </c>
      <c r="C4" s="659" t="s">
        <v>1</v>
      </c>
      <c r="D4" s="661" t="s">
        <v>2</v>
      </c>
      <c r="E4" s="659" t="s">
        <v>3</v>
      </c>
      <c r="F4" s="661" t="s">
        <v>4</v>
      </c>
      <c r="G4" s="659" t="s">
        <v>5</v>
      </c>
      <c r="H4" s="659" t="s">
        <v>6</v>
      </c>
      <c r="I4" s="659" t="s">
        <v>7</v>
      </c>
      <c r="J4" s="661" t="s">
        <v>8</v>
      </c>
      <c r="K4" s="659" t="s">
        <v>9</v>
      </c>
      <c r="L4" s="661" t="s">
        <v>10</v>
      </c>
      <c r="M4" s="659" t="s">
        <v>11</v>
      </c>
      <c r="N4" s="659" t="s">
        <v>12</v>
      </c>
      <c r="O4" s="662" t="s">
        <v>169</v>
      </c>
    </row>
    <row r="5" spans="1:17" s="658" customFormat="1" ht="12.75" customHeight="1" x14ac:dyDescent="0.2">
      <c r="A5" s="663" t="s">
        <v>284</v>
      </c>
      <c r="B5" s="664">
        <f>FGP!U8</f>
        <v>3.6801172209122921</v>
      </c>
      <c r="C5" s="665">
        <f>$C$25*B5/100</f>
        <v>7593.8471329714639</v>
      </c>
      <c r="D5" s="665">
        <f>$D$25*B5/100</f>
        <v>7593.8471329714639</v>
      </c>
      <c r="E5" s="665">
        <f>$E$25*B5/100</f>
        <v>7593.8471329714639</v>
      </c>
      <c r="F5" s="665">
        <f>$F$25*B5/100</f>
        <v>7593.8471329714639</v>
      </c>
      <c r="G5" s="665">
        <f>$G$25*B5/100</f>
        <v>7593.8471329714639</v>
      </c>
      <c r="H5" s="665">
        <f>$H$25*B5/100</f>
        <v>7593.8471329714639</v>
      </c>
      <c r="I5" s="665">
        <f>$I$25*B5/100</f>
        <v>7593.8471329714639</v>
      </c>
      <c r="J5" s="665">
        <f>$J$25*B5/100</f>
        <v>7593.8471329714639</v>
      </c>
      <c r="K5" s="665">
        <f>$K$25*B5/100</f>
        <v>7593.8471329714639</v>
      </c>
      <c r="L5" s="665">
        <f>$L$25*B5/100</f>
        <v>7593.8471329714639</v>
      </c>
      <c r="M5" s="665">
        <f>$M$25*B5/100</f>
        <v>7593.8471329714639</v>
      </c>
      <c r="N5" s="665">
        <f>$N$25*B5/100</f>
        <v>7593.8471329714639</v>
      </c>
      <c r="O5" s="666">
        <f>SUM(C5:N5)</f>
        <v>91126.165595657585</v>
      </c>
      <c r="P5" s="667"/>
      <c r="Q5" s="667"/>
    </row>
    <row r="6" spans="1:17" s="658" customFormat="1" ht="12.75" customHeight="1" x14ac:dyDescent="0.2">
      <c r="A6" s="663" t="s">
        <v>148</v>
      </c>
      <c r="B6" s="664">
        <f>FGP!U9</f>
        <v>2.5424050023415425</v>
      </c>
      <c r="C6" s="665">
        <f t="shared" ref="C6:C24" si="0">$C$25*B6/100</f>
        <v>5246.2010797301618</v>
      </c>
      <c r="D6" s="665">
        <f t="shared" ref="D6:D24" si="1">$D$25*B6/100</f>
        <v>5246.2010797301618</v>
      </c>
      <c r="E6" s="665">
        <f t="shared" ref="E6:E24" si="2">$E$25*B6/100</f>
        <v>5246.2010797301618</v>
      </c>
      <c r="F6" s="665">
        <f t="shared" ref="F6:F24" si="3">$F$25*B6/100</f>
        <v>5246.2010797301618</v>
      </c>
      <c r="G6" s="665">
        <f t="shared" ref="G6:G24" si="4">$G$25*B6/100</f>
        <v>5246.2010797301618</v>
      </c>
      <c r="H6" s="665">
        <f t="shared" ref="H6:H24" si="5">$H$25*B6/100</f>
        <v>5246.2010797301618</v>
      </c>
      <c r="I6" s="665">
        <f t="shared" ref="I6:I24" si="6">$I$25*B6/100</f>
        <v>5246.2010797301618</v>
      </c>
      <c r="J6" s="665">
        <f t="shared" ref="J6:J24" si="7">$J$25*B6/100</f>
        <v>5246.2010797301618</v>
      </c>
      <c r="K6" s="665">
        <f t="shared" ref="K6:K24" si="8">$K$25*B6/100</f>
        <v>5246.2010797301618</v>
      </c>
      <c r="L6" s="665">
        <f t="shared" ref="L6:L24" si="9">$L$25*B6/100</f>
        <v>5246.2010797301618</v>
      </c>
      <c r="M6" s="665">
        <f t="shared" ref="M6:M24" si="10">$M$25*B6/100</f>
        <v>5246.2010797301618</v>
      </c>
      <c r="N6" s="665">
        <f t="shared" ref="N6:N24" si="11">$N$25*B6/100</f>
        <v>5246.2010797301618</v>
      </c>
      <c r="O6" s="666">
        <f t="shared" ref="O6:O24" si="12">SUM(C6:N6)</f>
        <v>62954.412956761946</v>
      </c>
      <c r="P6" s="667"/>
    </row>
    <row r="7" spans="1:17" s="658" customFormat="1" ht="12.75" customHeight="1" x14ac:dyDescent="0.2">
      <c r="A7" s="663" t="s">
        <v>149</v>
      </c>
      <c r="B7" s="664">
        <f>FGP!U10</f>
        <v>2.6237819217741962</v>
      </c>
      <c r="C7" s="665">
        <f t="shared" si="0"/>
        <v>5414.120700010767</v>
      </c>
      <c r="D7" s="665">
        <f t="shared" si="1"/>
        <v>5414.120700010767</v>
      </c>
      <c r="E7" s="665">
        <f t="shared" si="2"/>
        <v>5414.120700010767</v>
      </c>
      <c r="F7" s="665">
        <f t="shared" si="3"/>
        <v>5414.120700010767</v>
      </c>
      <c r="G7" s="665">
        <f t="shared" si="4"/>
        <v>5414.120700010767</v>
      </c>
      <c r="H7" s="665">
        <f t="shared" si="5"/>
        <v>5414.120700010767</v>
      </c>
      <c r="I7" s="665">
        <f t="shared" si="6"/>
        <v>5414.120700010767</v>
      </c>
      <c r="J7" s="665">
        <f t="shared" si="7"/>
        <v>5414.120700010767</v>
      </c>
      <c r="K7" s="665">
        <f t="shared" si="8"/>
        <v>5414.120700010767</v>
      </c>
      <c r="L7" s="665">
        <f t="shared" si="9"/>
        <v>5414.120700010767</v>
      </c>
      <c r="M7" s="665">
        <f t="shared" si="10"/>
        <v>5414.120700010767</v>
      </c>
      <c r="N7" s="665">
        <f t="shared" si="11"/>
        <v>5414.120700010767</v>
      </c>
      <c r="O7" s="666">
        <f t="shared" si="12"/>
        <v>64969.448400129208</v>
      </c>
      <c r="P7" s="667"/>
    </row>
    <row r="8" spans="1:17" s="658" customFormat="1" ht="12.75" customHeight="1" x14ac:dyDescent="0.2">
      <c r="A8" s="663" t="s">
        <v>285</v>
      </c>
      <c r="B8" s="664">
        <f>FGP!U11</f>
        <v>10.811611930172436</v>
      </c>
      <c r="C8" s="665">
        <f t="shared" si="0"/>
        <v>22309.541607043488</v>
      </c>
      <c r="D8" s="665">
        <f t="shared" si="1"/>
        <v>22309.541607043488</v>
      </c>
      <c r="E8" s="665">
        <f t="shared" si="2"/>
        <v>22309.541607043488</v>
      </c>
      <c r="F8" s="665">
        <f t="shared" si="3"/>
        <v>22309.541607043488</v>
      </c>
      <c r="G8" s="665">
        <f t="shared" si="4"/>
        <v>22309.541607043488</v>
      </c>
      <c r="H8" s="665">
        <f t="shared" si="5"/>
        <v>22309.541607043488</v>
      </c>
      <c r="I8" s="665">
        <f t="shared" si="6"/>
        <v>22309.541607043488</v>
      </c>
      <c r="J8" s="665">
        <f t="shared" si="7"/>
        <v>22309.541607043488</v>
      </c>
      <c r="K8" s="665">
        <f t="shared" si="8"/>
        <v>22309.541607043488</v>
      </c>
      <c r="L8" s="665">
        <f t="shared" si="9"/>
        <v>22309.541607043488</v>
      </c>
      <c r="M8" s="665">
        <f t="shared" si="10"/>
        <v>22309.541607043488</v>
      </c>
      <c r="N8" s="665">
        <f t="shared" si="11"/>
        <v>22309.541607043488</v>
      </c>
      <c r="O8" s="666">
        <f t="shared" si="12"/>
        <v>267714.49928452179</v>
      </c>
      <c r="P8" s="667"/>
    </row>
    <row r="9" spans="1:17" s="658" customFormat="1" ht="12.75" customHeight="1" x14ac:dyDescent="0.2">
      <c r="A9" s="663" t="s">
        <v>151</v>
      </c>
      <c r="B9" s="664">
        <f>FGP!U12</f>
        <v>7.2261420913986409</v>
      </c>
      <c r="C9" s="665">
        <f t="shared" si="0"/>
        <v>14910.997424589861</v>
      </c>
      <c r="D9" s="665">
        <f t="shared" si="1"/>
        <v>14910.997424589861</v>
      </c>
      <c r="E9" s="665">
        <f t="shared" si="2"/>
        <v>14910.997424589861</v>
      </c>
      <c r="F9" s="665">
        <f t="shared" si="3"/>
        <v>14910.997424589861</v>
      </c>
      <c r="G9" s="665">
        <f t="shared" si="4"/>
        <v>14910.997424589861</v>
      </c>
      <c r="H9" s="665">
        <f t="shared" si="5"/>
        <v>14910.997424589861</v>
      </c>
      <c r="I9" s="665">
        <f t="shared" si="6"/>
        <v>14910.997424589861</v>
      </c>
      <c r="J9" s="665">
        <f t="shared" si="7"/>
        <v>14910.997424589861</v>
      </c>
      <c r="K9" s="665">
        <f t="shared" si="8"/>
        <v>14910.997424589861</v>
      </c>
      <c r="L9" s="665">
        <f t="shared" si="9"/>
        <v>14910.997424589861</v>
      </c>
      <c r="M9" s="665">
        <f t="shared" si="10"/>
        <v>14910.997424589861</v>
      </c>
      <c r="N9" s="665">
        <f t="shared" si="11"/>
        <v>14910.997424589861</v>
      </c>
      <c r="O9" s="666">
        <f t="shared" si="12"/>
        <v>178931.9690950783</v>
      </c>
      <c r="P9" s="667"/>
    </row>
    <row r="10" spans="1:17" s="658" customFormat="1" ht="12.75" customHeight="1" x14ac:dyDescent="0.2">
      <c r="A10" s="663" t="s">
        <v>286</v>
      </c>
      <c r="B10" s="664">
        <f>FGP!U13</f>
        <v>3.8727652527570857</v>
      </c>
      <c r="C10" s="665">
        <f t="shared" si="0"/>
        <v>7991.3724335200495</v>
      </c>
      <c r="D10" s="665">
        <f t="shared" si="1"/>
        <v>7991.3724335200495</v>
      </c>
      <c r="E10" s="665">
        <f t="shared" si="2"/>
        <v>7991.3724335200495</v>
      </c>
      <c r="F10" s="665">
        <f t="shared" si="3"/>
        <v>7991.3724335200495</v>
      </c>
      <c r="G10" s="665">
        <f t="shared" si="4"/>
        <v>7991.3724335200495</v>
      </c>
      <c r="H10" s="665">
        <f t="shared" si="5"/>
        <v>7991.3724335200495</v>
      </c>
      <c r="I10" s="665">
        <f t="shared" si="6"/>
        <v>7991.3724335200495</v>
      </c>
      <c r="J10" s="665">
        <f t="shared" si="7"/>
        <v>7991.3724335200495</v>
      </c>
      <c r="K10" s="665">
        <f t="shared" si="8"/>
        <v>7991.3724335200495</v>
      </c>
      <c r="L10" s="665">
        <f t="shared" si="9"/>
        <v>7991.3724335200495</v>
      </c>
      <c r="M10" s="665">
        <f t="shared" si="10"/>
        <v>7991.3724335200495</v>
      </c>
      <c r="N10" s="665">
        <f t="shared" si="11"/>
        <v>7991.3724335200495</v>
      </c>
      <c r="O10" s="666">
        <f t="shared" si="12"/>
        <v>95896.469202240623</v>
      </c>
      <c r="P10" s="667"/>
    </row>
    <row r="11" spans="1:17" s="658" customFormat="1" ht="12.75" customHeight="1" x14ac:dyDescent="0.2">
      <c r="A11" s="663" t="s">
        <v>153</v>
      </c>
      <c r="B11" s="664">
        <f>FGP!U14</f>
        <v>2.7904185385530926</v>
      </c>
      <c r="C11" s="665">
        <f t="shared" si="0"/>
        <v>5757.9719739277416</v>
      </c>
      <c r="D11" s="665">
        <f t="shared" si="1"/>
        <v>5757.9719739277416</v>
      </c>
      <c r="E11" s="665">
        <f t="shared" si="2"/>
        <v>5757.9719739277416</v>
      </c>
      <c r="F11" s="665">
        <f t="shared" si="3"/>
        <v>5757.9719739277416</v>
      </c>
      <c r="G11" s="665">
        <f t="shared" si="4"/>
        <v>5757.9719739277416</v>
      </c>
      <c r="H11" s="665">
        <f t="shared" si="5"/>
        <v>5757.9719739277416</v>
      </c>
      <c r="I11" s="665">
        <f t="shared" si="6"/>
        <v>5757.9719739277416</v>
      </c>
      <c r="J11" s="665">
        <f t="shared" si="7"/>
        <v>5757.9719739277416</v>
      </c>
      <c r="K11" s="665">
        <f t="shared" si="8"/>
        <v>5757.9719739277416</v>
      </c>
      <c r="L11" s="665">
        <f t="shared" si="9"/>
        <v>5757.9719739277416</v>
      </c>
      <c r="M11" s="665">
        <f t="shared" si="10"/>
        <v>5757.9719739277416</v>
      </c>
      <c r="N11" s="665">
        <f t="shared" si="11"/>
        <v>5757.9719739277416</v>
      </c>
      <c r="O11" s="666">
        <f t="shared" si="12"/>
        <v>69095.663687132896</v>
      </c>
      <c r="P11" s="667"/>
    </row>
    <row r="12" spans="1:17" s="658" customFormat="1" ht="12.75" customHeight="1" x14ac:dyDescent="0.2">
      <c r="A12" s="663" t="s">
        <v>154</v>
      </c>
      <c r="B12" s="664">
        <f>FGP!U15</f>
        <v>3.3598990994718916</v>
      </c>
      <c r="C12" s="665">
        <f t="shared" si="0"/>
        <v>6933.0835438097893</v>
      </c>
      <c r="D12" s="665">
        <f t="shared" si="1"/>
        <v>6933.0835438097893</v>
      </c>
      <c r="E12" s="665">
        <f t="shared" si="2"/>
        <v>6933.0835438097893</v>
      </c>
      <c r="F12" s="665">
        <f t="shared" si="3"/>
        <v>6933.0835438097893</v>
      </c>
      <c r="G12" s="665">
        <f t="shared" si="4"/>
        <v>6933.0835438097893</v>
      </c>
      <c r="H12" s="665">
        <f t="shared" si="5"/>
        <v>6933.0835438097893</v>
      </c>
      <c r="I12" s="665">
        <f t="shared" si="6"/>
        <v>6933.0835438097893</v>
      </c>
      <c r="J12" s="665">
        <f t="shared" si="7"/>
        <v>6933.0835438097893</v>
      </c>
      <c r="K12" s="665">
        <f t="shared" si="8"/>
        <v>6933.0835438097893</v>
      </c>
      <c r="L12" s="665">
        <f t="shared" si="9"/>
        <v>6933.0835438097893</v>
      </c>
      <c r="M12" s="665">
        <f t="shared" si="10"/>
        <v>6933.0835438097893</v>
      </c>
      <c r="N12" s="665">
        <f t="shared" si="11"/>
        <v>6933.0835438097893</v>
      </c>
      <c r="O12" s="666">
        <f t="shared" si="12"/>
        <v>83197.002525717442</v>
      </c>
      <c r="P12" s="667"/>
    </row>
    <row r="13" spans="1:17" s="658" customFormat="1" ht="12.75" customHeight="1" x14ac:dyDescent="0.2">
      <c r="A13" s="663" t="s">
        <v>155</v>
      </c>
      <c r="B13" s="664">
        <f>FGP!U16</f>
        <v>3.2387652857906701</v>
      </c>
      <c r="C13" s="665">
        <f t="shared" si="0"/>
        <v>6683.1263798091795</v>
      </c>
      <c r="D13" s="665">
        <f t="shared" si="1"/>
        <v>6683.1263798091795</v>
      </c>
      <c r="E13" s="665">
        <f t="shared" si="2"/>
        <v>6683.1263798091795</v>
      </c>
      <c r="F13" s="665">
        <f t="shared" si="3"/>
        <v>6683.1263798091795</v>
      </c>
      <c r="G13" s="665">
        <f t="shared" si="4"/>
        <v>6683.1263798091795</v>
      </c>
      <c r="H13" s="665">
        <f t="shared" si="5"/>
        <v>6683.1263798091795</v>
      </c>
      <c r="I13" s="665">
        <f t="shared" si="6"/>
        <v>6683.1263798091795</v>
      </c>
      <c r="J13" s="665">
        <f t="shared" si="7"/>
        <v>6683.1263798091795</v>
      </c>
      <c r="K13" s="665">
        <f t="shared" si="8"/>
        <v>6683.1263798091795</v>
      </c>
      <c r="L13" s="665">
        <f t="shared" si="9"/>
        <v>6683.1263798091795</v>
      </c>
      <c r="M13" s="665">
        <f t="shared" si="10"/>
        <v>6683.1263798091795</v>
      </c>
      <c r="N13" s="665">
        <f t="shared" si="11"/>
        <v>6683.1263798091795</v>
      </c>
      <c r="O13" s="666">
        <f t="shared" si="12"/>
        <v>80197.516557710172</v>
      </c>
      <c r="P13" s="667"/>
    </row>
    <row r="14" spans="1:17" s="658" customFormat="1" ht="12.75" customHeight="1" x14ac:dyDescent="0.2">
      <c r="A14" s="663" t="s">
        <v>156</v>
      </c>
      <c r="B14" s="664">
        <f>FGP!U17</f>
        <v>2.4067721623105878</v>
      </c>
      <c r="C14" s="665">
        <f t="shared" si="0"/>
        <v>4966.3254693683502</v>
      </c>
      <c r="D14" s="665">
        <f t="shared" si="1"/>
        <v>4966.3254693683502</v>
      </c>
      <c r="E14" s="665">
        <f t="shared" si="2"/>
        <v>4966.3254693683502</v>
      </c>
      <c r="F14" s="665">
        <f t="shared" si="3"/>
        <v>4966.3254693683502</v>
      </c>
      <c r="G14" s="665">
        <f t="shared" si="4"/>
        <v>4966.3254693683502</v>
      </c>
      <c r="H14" s="665">
        <f t="shared" si="5"/>
        <v>4966.3254693683502</v>
      </c>
      <c r="I14" s="665">
        <f t="shared" si="6"/>
        <v>4966.3254693683502</v>
      </c>
      <c r="J14" s="665">
        <f t="shared" si="7"/>
        <v>4966.3254693683502</v>
      </c>
      <c r="K14" s="665">
        <f t="shared" si="8"/>
        <v>4966.3254693683502</v>
      </c>
      <c r="L14" s="665">
        <f t="shared" si="9"/>
        <v>4966.3254693683502</v>
      </c>
      <c r="M14" s="665">
        <f t="shared" si="10"/>
        <v>4966.3254693683502</v>
      </c>
      <c r="N14" s="665">
        <f t="shared" si="11"/>
        <v>4966.3254693683502</v>
      </c>
      <c r="O14" s="666">
        <f t="shared" si="12"/>
        <v>59595.905632420188</v>
      </c>
      <c r="P14" s="667"/>
    </row>
    <row r="15" spans="1:17" s="658" customFormat="1" ht="12.75" customHeight="1" x14ac:dyDescent="0.25">
      <c r="A15" s="663" t="s">
        <v>157</v>
      </c>
      <c r="B15" s="664">
        <f>FGP!U18</f>
        <v>3.6087000422530968</v>
      </c>
      <c r="C15" s="665">
        <f t="shared" si="0"/>
        <v>7446.4792354696556</v>
      </c>
      <c r="D15" s="665">
        <f t="shared" si="1"/>
        <v>7446.4792354696556</v>
      </c>
      <c r="E15" s="665">
        <f t="shared" si="2"/>
        <v>7446.4792354696556</v>
      </c>
      <c r="F15" s="665">
        <f t="shared" si="3"/>
        <v>7446.4792354696556</v>
      </c>
      <c r="G15" s="665">
        <f t="shared" si="4"/>
        <v>7446.4792354696556</v>
      </c>
      <c r="H15" s="665">
        <f t="shared" si="5"/>
        <v>7446.4792354696556</v>
      </c>
      <c r="I15" s="665">
        <f t="shared" si="6"/>
        <v>7446.4792354696556</v>
      </c>
      <c r="J15" s="665">
        <f t="shared" si="7"/>
        <v>7446.4792354696556</v>
      </c>
      <c r="K15" s="665">
        <f t="shared" si="8"/>
        <v>7446.4792354696556</v>
      </c>
      <c r="L15" s="665">
        <f t="shared" si="9"/>
        <v>7446.4792354696556</v>
      </c>
      <c r="M15" s="665">
        <f t="shared" si="10"/>
        <v>7446.4792354696556</v>
      </c>
      <c r="N15" s="665">
        <f t="shared" si="11"/>
        <v>7446.4792354696556</v>
      </c>
      <c r="O15" s="666">
        <f t="shared" si="12"/>
        <v>89357.750825635871</v>
      </c>
      <c r="P15" s="667"/>
      <c r="Q15"/>
    </row>
    <row r="16" spans="1:17" s="658" customFormat="1" ht="12.75" customHeight="1" x14ac:dyDescent="0.25">
      <c r="A16" s="663" t="s">
        <v>158</v>
      </c>
      <c r="B16" s="664">
        <f>FGP!U19</f>
        <v>3.449447846465401</v>
      </c>
      <c r="C16" s="665">
        <f t="shared" si="0"/>
        <v>7117.8655642719732</v>
      </c>
      <c r="D16" s="665">
        <f t="shared" si="1"/>
        <v>7117.8655642719732</v>
      </c>
      <c r="E16" s="665">
        <f t="shared" si="2"/>
        <v>7117.8655642719732</v>
      </c>
      <c r="F16" s="665">
        <f t="shared" si="3"/>
        <v>7117.8655642719732</v>
      </c>
      <c r="G16" s="665">
        <f t="shared" si="4"/>
        <v>7117.8655642719732</v>
      </c>
      <c r="H16" s="665">
        <f t="shared" si="5"/>
        <v>7117.8655642719732</v>
      </c>
      <c r="I16" s="665">
        <f t="shared" si="6"/>
        <v>7117.8655642719732</v>
      </c>
      <c r="J16" s="665">
        <f t="shared" si="7"/>
        <v>7117.8655642719732</v>
      </c>
      <c r="K16" s="665">
        <f t="shared" si="8"/>
        <v>7117.8655642719732</v>
      </c>
      <c r="L16" s="665">
        <f t="shared" si="9"/>
        <v>7117.8655642719732</v>
      </c>
      <c r="M16" s="665">
        <f t="shared" si="10"/>
        <v>7117.8655642719732</v>
      </c>
      <c r="N16" s="665">
        <f t="shared" si="11"/>
        <v>7117.8655642719732</v>
      </c>
      <c r="O16" s="666">
        <f t="shared" si="12"/>
        <v>85414.386771263671</v>
      </c>
      <c r="P16" s="667"/>
      <c r="Q16"/>
    </row>
    <row r="17" spans="1:17" s="658" customFormat="1" ht="12.75" customHeight="1" x14ac:dyDescent="0.25">
      <c r="A17" s="663" t="s">
        <v>159</v>
      </c>
      <c r="B17" s="664">
        <f>FGP!U20</f>
        <v>3.5775490353218853</v>
      </c>
      <c r="C17" s="665">
        <f t="shared" si="0"/>
        <v>7382.1997654219294</v>
      </c>
      <c r="D17" s="665">
        <f t="shared" si="1"/>
        <v>7382.1997654219294</v>
      </c>
      <c r="E17" s="665">
        <f t="shared" si="2"/>
        <v>7382.1997654219294</v>
      </c>
      <c r="F17" s="665">
        <f t="shared" si="3"/>
        <v>7382.1997654219294</v>
      </c>
      <c r="G17" s="665">
        <f t="shared" si="4"/>
        <v>7382.1997654219294</v>
      </c>
      <c r="H17" s="665">
        <f t="shared" si="5"/>
        <v>7382.1997654219294</v>
      </c>
      <c r="I17" s="665">
        <f t="shared" si="6"/>
        <v>7382.1997654219294</v>
      </c>
      <c r="J17" s="665">
        <f t="shared" si="7"/>
        <v>7382.1997654219294</v>
      </c>
      <c r="K17" s="665">
        <f t="shared" si="8"/>
        <v>7382.1997654219294</v>
      </c>
      <c r="L17" s="665">
        <f t="shared" si="9"/>
        <v>7382.1997654219294</v>
      </c>
      <c r="M17" s="665">
        <f t="shared" si="10"/>
        <v>7382.1997654219294</v>
      </c>
      <c r="N17" s="665">
        <f t="shared" si="11"/>
        <v>7382.1997654219294</v>
      </c>
      <c r="O17" s="666">
        <f t="shared" si="12"/>
        <v>88586.39718506315</v>
      </c>
      <c r="P17" s="667"/>
      <c r="Q17"/>
    </row>
    <row r="18" spans="1:17" s="658" customFormat="1" ht="12.75" customHeight="1" x14ac:dyDescent="0.25">
      <c r="A18" s="663" t="s">
        <v>287</v>
      </c>
      <c r="B18" s="664">
        <f>FGP!U21</f>
        <v>2.7059321154728599</v>
      </c>
      <c r="C18" s="665">
        <f t="shared" si="0"/>
        <v>5583.6359560321507</v>
      </c>
      <c r="D18" s="665">
        <f t="shared" si="1"/>
        <v>5583.6359560321507</v>
      </c>
      <c r="E18" s="665">
        <f t="shared" si="2"/>
        <v>5583.6359560321507</v>
      </c>
      <c r="F18" s="665">
        <f t="shared" si="3"/>
        <v>5583.6359560321507</v>
      </c>
      <c r="G18" s="665">
        <f t="shared" si="4"/>
        <v>5583.6359560321507</v>
      </c>
      <c r="H18" s="665">
        <f t="shared" si="5"/>
        <v>5583.6359560321507</v>
      </c>
      <c r="I18" s="665">
        <f t="shared" si="6"/>
        <v>5583.6359560321507</v>
      </c>
      <c r="J18" s="665">
        <f t="shared" si="7"/>
        <v>5583.6359560321507</v>
      </c>
      <c r="K18" s="665">
        <f t="shared" si="8"/>
        <v>5583.6359560321507</v>
      </c>
      <c r="L18" s="665">
        <f t="shared" si="9"/>
        <v>5583.6359560321507</v>
      </c>
      <c r="M18" s="665">
        <f t="shared" si="10"/>
        <v>5583.6359560321507</v>
      </c>
      <c r="N18" s="665">
        <f t="shared" si="11"/>
        <v>5583.6359560321507</v>
      </c>
      <c r="O18" s="666">
        <f t="shared" si="12"/>
        <v>67003.631472385809</v>
      </c>
      <c r="P18" s="667"/>
      <c r="Q18"/>
    </row>
    <row r="19" spans="1:17" s="658" customFormat="1" ht="12.75" customHeight="1" x14ac:dyDescent="0.25">
      <c r="A19" s="663" t="s">
        <v>288</v>
      </c>
      <c r="B19" s="664">
        <f>FGP!U22</f>
        <v>2.7608668836779993</v>
      </c>
      <c r="C19" s="665">
        <f t="shared" si="0"/>
        <v>5696.9927343609752</v>
      </c>
      <c r="D19" s="665">
        <f t="shared" si="1"/>
        <v>5696.9927343609752</v>
      </c>
      <c r="E19" s="665">
        <f t="shared" si="2"/>
        <v>5696.9927343609752</v>
      </c>
      <c r="F19" s="665">
        <f t="shared" si="3"/>
        <v>5696.9927343609752</v>
      </c>
      <c r="G19" s="665">
        <f t="shared" si="4"/>
        <v>5696.9927343609752</v>
      </c>
      <c r="H19" s="665">
        <f t="shared" si="5"/>
        <v>5696.9927343609752</v>
      </c>
      <c r="I19" s="665">
        <f t="shared" si="6"/>
        <v>5696.9927343609752</v>
      </c>
      <c r="J19" s="665">
        <f t="shared" si="7"/>
        <v>5696.9927343609752</v>
      </c>
      <c r="K19" s="665">
        <f t="shared" si="8"/>
        <v>5696.9927343609752</v>
      </c>
      <c r="L19" s="665">
        <f t="shared" si="9"/>
        <v>5696.9927343609752</v>
      </c>
      <c r="M19" s="665">
        <f t="shared" si="10"/>
        <v>5696.9927343609752</v>
      </c>
      <c r="N19" s="665">
        <f t="shared" si="11"/>
        <v>5696.9927343609752</v>
      </c>
      <c r="O19" s="666">
        <f t="shared" si="12"/>
        <v>68363.912812331706</v>
      </c>
      <c r="P19" s="667"/>
      <c r="Q19"/>
    </row>
    <row r="20" spans="1:17" s="658" customFormat="1" ht="12.75" customHeight="1" x14ac:dyDescent="0.25">
      <c r="A20" s="663" t="s">
        <v>289</v>
      </c>
      <c r="B20" s="664">
        <f>FGP!U23</f>
        <v>6.3582422540279442</v>
      </c>
      <c r="C20" s="665">
        <f t="shared" si="0"/>
        <v>13120.103739390875</v>
      </c>
      <c r="D20" s="665">
        <f t="shared" si="1"/>
        <v>13120.103739390875</v>
      </c>
      <c r="E20" s="665">
        <f t="shared" si="2"/>
        <v>13120.103739390875</v>
      </c>
      <c r="F20" s="665">
        <f t="shared" si="3"/>
        <v>13120.103739390875</v>
      </c>
      <c r="G20" s="665">
        <f t="shared" si="4"/>
        <v>13120.103739390875</v>
      </c>
      <c r="H20" s="665">
        <f t="shared" si="5"/>
        <v>13120.103739390875</v>
      </c>
      <c r="I20" s="665">
        <f t="shared" si="6"/>
        <v>13120.103739390875</v>
      </c>
      <c r="J20" s="665">
        <f t="shared" si="7"/>
        <v>13120.103739390875</v>
      </c>
      <c r="K20" s="665">
        <f t="shared" si="8"/>
        <v>13120.103739390875</v>
      </c>
      <c r="L20" s="665">
        <f t="shared" si="9"/>
        <v>13120.103739390875</v>
      </c>
      <c r="M20" s="665">
        <f t="shared" si="10"/>
        <v>13120.103739390875</v>
      </c>
      <c r="N20" s="665">
        <f t="shared" si="11"/>
        <v>13120.103739390875</v>
      </c>
      <c r="O20" s="666">
        <f t="shared" si="12"/>
        <v>157441.2448726905</v>
      </c>
      <c r="P20" s="667"/>
      <c r="Q20"/>
    </row>
    <row r="21" spans="1:17" s="658" customFormat="1" ht="12.75" customHeight="1" x14ac:dyDescent="0.25">
      <c r="A21" s="663" t="s">
        <v>163</v>
      </c>
      <c r="B21" s="664">
        <f>FGP!U24</f>
        <v>3.8167955341115505</v>
      </c>
      <c r="C21" s="665">
        <f t="shared" si="0"/>
        <v>7875.8800559798965</v>
      </c>
      <c r="D21" s="665">
        <f t="shared" si="1"/>
        <v>7875.8800559798965</v>
      </c>
      <c r="E21" s="665">
        <f t="shared" si="2"/>
        <v>7875.8800559798965</v>
      </c>
      <c r="F21" s="665">
        <f t="shared" si="3"/>
        <v>7875.8800559798965</v>
      </c>
      <c r="G21" s="665">
        <f t="shared" si="4"/>
        <v>7875.8800559798965</v>
      </c>
      <c r="H21" s="665">
        <f t="shared" si="5"/>
        <v>7875.8800559798965</v>
      </c>
      <c r="I21" s="665">
        <f t="shared" si="6"/>
        <v>7875.8800559798965</v>
      </c>
      <c r="J21" s="665">
        <f t="shared" si="7"/>
        <v>7875.8800559798965</v>
      </c>
      <c r="K21" s="665">
        <f t="shared" si="8"/>
        <v>7875.8800559798965</v>
      </c>
      <c r="L21" s="665">
        <f t="shared" si="9"/>
        <v>7875.8800559798965</v>
      </c>
      <c r="M21" s="665">
        <f t="shared" si="10"/>
        <v>7875.8800559798965</v>
      </c>
      <c r="N21" s="665">
        <f t="shared" si="11"/>
        <v>7875.8800559798965</v>
      </c>
      <c r="O21" s="666">
        <f t="shared" si="12"/>
        <v>94510.560671758765</v>
      </c>
      <c r="P21" s="667"/>
      <c r="Q21"/>
    </row>
    <row r="22" spans="1:17" s="658" customFormat="1" ht="12.75" customHeight="1" x14ac:dyDescent="0.25">
      <c r="A22" s="663" t="s">
        <v>164</v>
      </c>
      <c r="B22" s="664">
        <f>FGP!U25</f>
        <v>22.390571163586038</v>
      </c>
      <c r="C22" s="665">
        <f t="shared" si="0"/>
        <v>46202.488787583017</v>
      </c>
      <c r="D22" s="665">
        <f t="shared" si="1"/>
        <v>46202.488787583017</v>
      </c>
      <c r="E22" s="665">
        <f t="shared" si="2"/>
        <v>46202.488787583017</v>
      </c>
      <c r="F22" s="665">
        <f t="shared" si="3"/>
        <v>46202.488787583017</v>
      </c>
      <c r="G22" s="665">
        <f t="shared" si="4"/>
        <v>46202.488787583017</v>
      </c>
      <c r="H22" s="665">
        <f t="shared" si="5"/>
        <v>46202.488787583017</v>
      </c>
      <c r="I22" s="665">
        <f t="shared" si="6"/>
        <v>46202.488787583017</v>
      </c>
      <c r="J22" s="665">
        <f t="shared" si="7"/>
        <v>46202.488787583017</v>
      </c>
      <c r="K22" s="665">
        <f t="shared" si="8"/>
        <v>46202.488787583017</v>
      </c>
      <c r="L22" s="665">
        <f t="shared" si="9"/>
        <v>46202.488787583017</v>
      </c>
      <c r="M22" s="665">
        <f t="shared" si="10"/>
        <v>46202.488787583017</v>
      </c>
      <c r="N22" s="665">
        <f t="shared" si="11"/>
        <v>46202.488787583017</v>
      </c>
      <c r="O22" s="666">
        <f t="shared" si="12"/>
        <v>554429.86545099621</v>
      </c>
      <c r="P22" s="667"/>
      <c r="Q22"/>
    </row>
    <row r="23" spans="1:17" s="658" customFormat="1" ht="12.75" customHeight="1" x14ac:dyDescent="0.25">
      <c r="A23" s="663" t="s">
        <v>165</v>
      </c>
      <c r="B23" s="664">
        <f>FGP!U26</f>
        <v>3.6049459132695008</v>
      </c>
      <c r="C23" s="665">
        <f t="shared" si="0"/>
        <v>7438.7326665677501</v>
      </c>
      <c r="D23" s="665">
        <f t="shared" si="1"/>
        <v>7438.7326665677501</v>
      </c>
      <c r="E23" s="665">
        <f t="shared" si="2"/>
        <v>7438.7326665677501</v>
      </c>
      <c r="F23" s="665">
        <f t="shared" si="3"/>
        <v>7438.7326665677501</v>
      </c>
      <c r="G23" s="665">
        <f t="shared" si="4"/>
        <v>7438.7326665677501</v>
      </c>
      <c r="H23" s="665">
        <f t="shared" si="5"/>
        <v>7438.7326665677501</v>
      </c>
      <c r="I23" s="665">
        <f t="shared" si="6"/>
        <v>7438.7326665677501</v>
      </c>
      <c r="J23" s="665">
        <f t="shared" si="7"/>
        <v>7438.7326665677501</v>
      </c>
      <c r="K23" s="665">
        <f t="shared" si="8"/>
        <v>7438.7326665677501</v>
      </c>
      <c r="L23" s="665">
        <f t="shared" si="9"/>
        <v>7438.7326665677501</v>
      </c>
      <c r="M23" s="665">
        <f t="shared" si="10"/>
        <v>7438.7326665677501</v>
      </c>
      <c r="N23" s="665">
        <f t="shared" si="11"/>
        <v>7438.7326665677501</v>
      </c>
      <c r="O23" s="666">
        <f t="shared" si="12"/>
        <v>89264.791998813031</v>
      </c>
      <c r="P23" s="667"/>
      <c r="Q23"/>
    </row>
    <row r="24" spans="1:17" s="658" customFormat="1" ht="12.75" customHeight="1" thickBot="1" x14ac:dyDescent="0.3">
      <c r="A24" s="663" t="s">
        <v>166</v>
      </c>
      <c r="B24" s="664">
        <f>FGP!U27</f>
        <v>5.1742707063312778</v>
      </c>
      <c r="C24" s="665">
        <f t="shared" si="0"/>
        <v>10677.002500140867</v>
      </c>
      <c r="D24" s="665">
        <f t="shared" si="1"/>
        <v>10677.002500140867</v>
      </c>
      <c r="E24" s="665">
        <f t="shared" si="2"/>
        <v>10677.002500140867</v>
      </c>
      <c r="F24" s="665">
        <f t="shared" si="3"/>
        <v>10677.002500140867</v>
      </c>
      <c r="G24" s="665">
        <f t="shared" si="4"/>
        <v>10677.002500140867</v>
      </c>
      <c r="H24" s="665">
        <f t="shared" si="5"/>
        <v>10677.002500140867</v>
      </c>
      <c r="I24" s="665">
        <f t="shared" si="6"/>
        <v>10677.002500140867</v>
      </c>
      <c r="J24" s="665">
        <f t="shared" si="7"/>
        <v>10677.002500140867</v>
      </c>
      <c r="K24" s="665">
        <f t="shared" si="8"/>
        <v>10677.002500140867</v>
      </c>
      <c r="L24" s="665">
        <f t="shared" si="9"/>
        <v>10677.002500140867</v>
      </c>
      <c r="M24" s="665">
        <f t="shared" si="10"/>
        <v>10677.002500140867</v>
      </c>
      <c r="N24" s="665">
        <f t="shared" si="11"/>
        <v>10677.002500140867</v>
      </c>
      <c r="O24" s="666">
        <f t="shared" si="12"/>
        <v>128124.03000169039</v>
      </c>
      <c r="P24" s="667"/>
      <c r="Q24"/>
    </row>
    <row r="25" spans="1:17" s="658" customFormat="1" ht="13.5" customHeight="1" thickBot="1" x14ac:dyDescent="0.3">
      <c r="A25" s="668" t="s">
        <v>290</v>
      </c>
      <c r="B25" s="697">
        <f>SUM(B5:B24)</f>
        <v>100</v>
      </c>
      <c r="C25" s="670">
        <f>'X22.55 POE'!B97</f>
        <v>206347.96874999997</v>
      </c>
      <c r="D25" s="670">
        <f>'X22.55 POE'!C97</f>
        <v>206347.96874999997</v>
      </c>
      <c r="E25" s="670">
        <f>'X22.55 POE'!D97</f>
        <v>206347.96874999997</v>
      </c>
      <c r="F25" s="670">
        <f>'X22.55 POE'!E97</f>
        <v>206347.96874999997</v>
      </c>
      <c r="G25" s="670">
        <f>'X22.55 POE'!F97</f>
        <v>206347.96874999997</v>
      </c>
      <c r="H25" s="670">
        <f>'X22.55 POE'!G97</f>
        <v>206347.96874999997</v>
      </c>
      <c r="I25" s="670">
        <f>'X22.55 POE'!H97</f>
        <v>206347.96874999997</v>
      </c>
      <c r="J25" s="670">
        <f>'X22.55 POE'!I97</f>
        <v>206347.96874999997</v>
      </c>
      <c r="K25" s="670">
        <f>'X22.55 POE'!J97</f>
        <v>206347.96874999997</v>
      </c>
      <c r="L25" s="670">
        <f>'X22.55 POE'!K97</f>
        <v>206347.96874999997</v>
      </c>
      <c r="M25" s="670">
        <f>'X22.55 POE'!L97</f>
        <v>206347.96874999997</v>
      </c>
      <c r="N25" s="670">
        <f>'X22.55 POE'!M97</f>
        <v>206347.96874999997</v>
      </c>
      <c r="O25" s="670">
        <f>SUM(C25:N25)</f>
        <v>2476175.6249999995</v>
      </c>
      <c r="Q25"/>
    </row>
    <row r="26" spans="1:17" s="658" customFormat="1" x14ac:dyDescent="0.25">
      <c r="A26" s="672" t="s">
        <v>291</v>
      </c>
      <c r="O26" s="667"/>
      <c r="Q26"/>
    </row>
    <row r="27" spans="1:17" s="658" customFormat="1" x14ac:dyDescent="0.25">
      <c r="Q27"/>
    </row>
    <row r="28" spans="1:17" s="658" customFormat="1" x14ac:dyDescent="0.25">
      <c r="Q28"/>
    </row>
    <row r="29" spans="1:17" s="658" customFormat="1" x14ac:dyDescent="0.25">
      <c r="C29" s="818"/>
      <c r="D29" s="818"/>
      <c r="E29" s="818"/>
      <c r="F29" s="818"/>
      <c r="G29" s="818"/>
      <c r="H29" s="818"/>
      <c r="I29" s="818"/>
      <c r="J29" s="818"/>
      <c r="K29" s="818"/>
      <c r="L29" s="818"/>
      <c r="M29" s="818"/>
      <c r="N29" s="818"/>
      <c r="O29" s="818"/>
      <c r="Q29"/>
    </row>
    <row r="30" spans="1:17" s="658" customFormat="1" x14ac:dyDescent="0.25">
      <c r="A30"/>
      <c r="B30"/>
      <c r="C30"/>
      <c r="D30"/>
      <c r="E30"/>
      <c r="F30"/>
      <c r="G30"/>
      <c r="H30"/>
      <c r="I30"/>
      <c r="J30"/>
      <c r="K30"/>
      <c r="L30"/>
      <c r="M30"/>
      <c r="N30"/>
      <c r="P30"/>
      <c r="Q30"/>
    </row>
    <row r="31" spans="1:17" s="658" customFormat="1" x14ac:dyDescent="0.25">
      <c r="A31"/>
      <c r="B31"/>
      <c r="C31"/>
      <c r="D31"/>
      <c r="E31"/>
      <c r="F31"/>
      <c r="G31"/>
      <c r="H31"/>
      <c r="I31"/>
      <c r="J31"/>
      <c r="K31"/>
      <c r="L31"/>
      <c r="M31"/>
      <c r="N31"/>
      <c r="O31" s="667"/>
      <c r="P31"/>
      <c r="Q31"/>
    </row>
    <row r="32" spans="1:17" s="658" customFormat="1" x14ac:dyDescent="0.25">
      <c r="A32"/>
      <c r="B32"/>
      <c r="C32"/>
      <c r="D32"/>
      <c r="E32"/>
      <c r="F32"/>
      <c r="G32"/>
      <c r="H32"/>
      <c r="I32"/>
      <c r="J32"/>
      <c r="K32"/>
      <c r="L32"/>
      <c r="M32"/>
      <c r="N32"/>
      <c r="P32"/>
      <c r="Q32"/>
    </row>
    <row r="33" spans="1:17" s="658" customFormat="1" x14ac:dyDescent="0.25">
      <c r="A33"/>
      <c r="B33"/>
      <c r="C33"/>
      <c r="D33"/>
      <c r="E33"/>
      <c r="F33"/>
      <c r="G33"/>
      <c r="H33"/>
      <c r="I33"/>
      <c r="J33"/>
      <c r="K33"/>
      <c r="L33"/>
      <c r="M33"/>
      <c r="N33"/>
      <c r="P33"/>
      <c r="Q33"/>
    </row>
  </sheetData>
  <mergeCells count="1">
    <mergeCell ref="A2:O2"/>
  </mergeCells>
  <printOptions horizontalCentered="1"/>
  <pageMargins left="0.70866141732283472" right="0.47244094488188981" top="0.98425196850393704" bottom="0.98425196850393704" header="0" footer="0"/>
  <pageSetup paperSize="5" orientation="landscape"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3">
    <tabColor rgb="FFFFFF00"/>
  </sheetPr>
  <dimension ref="A1:Q30"/>
  <sheetViews>
    <sheetView workbookViewId="0">
      <selection activeCell="B4" sqref="B4"/>
    </sheetView>
  </sheetViews>
  <sheetFormatPr baseColWidth="10" defaultRowHeight="15" x14ac:dyDescent="0.25"/>
  <cols>
    <col min="1" max="1" width="16.5703125" customWidth="1"/>
    <col min="2" max="2" width="9.28515625" customWidth="1"/>
    <col min="3" max="10" width="7.85546875" customWidth="1"/>
    <col min="11" max="11" width="10.140625" bestFit="1" customWidth="1"/>
    <col min="12" max="12" width="7.85546875" customWidth="1"/>
    <col min="13" max="14" width="10.140625" bestFit="1" customWidth="1"/>
    <col min="15" max="15" width="7.85546875" customWidth="1"/>
    <col min="16" max="16" width="12.7109375" bestFit="1" customWidth="1"/>
  </cols>
  <sheetData>
    <row r="1" spans="1:17" x14ac:dyDescent="0.25">
      <c r="A1" s="1021" t="s">
        <v>438</v>
      </c>
      <c r="B1" s="1021"/>
      <c r="C1" s="1021"/>
      <c r="D1" s="1021"/>
      <c r="E1" s="1021"/>
      <c r="F1" s="1021"/>
      <c r="G1" s="1021"/>
      <c r="H1" s="1021"/>
      <c r="I1" s="1021"/>
      <c r="J1" s="1021"/>
      <c r="K1" s="1021"/>
      <c r="L1" s="1021"/>
      <c r="M1" s="1021"/>
      <c r="N1" s="1021"/>
      <c r="O1" s="1021"/>
      <c r="P1" s="658"/>
      <c r="Q1" s="658"/>
    </row>
    <row r="2" spans="1:17" ht="15.75" thickBot="1" x14ac:dyDescent="0.3">
      <c r="A2" s="658"/>
      <c r="B2" s="658"/>
      <c r="C2" s="658"/>
      <c r="D2" s="658"/>
      <c r="E2" s="658"/>
      <c r="F2" s="658"/>
      <c r="G2" s="658"/>
      <c r="H2" s="658"/>
      <c r="I2" s="658"/>
      <c r="J2" s="658"/>
      <c r="K2" s="658"/>
      <c r="L2" s="658"/>
      <c r="M2" s="658"/>
      <c r="N2" s="658"/>
      <c r="O2" s="658"/>
      <c r="P2" s="658"/>
      <c r="Q2" s="658"/>
    </row>
    <row r="3" spans="1:17" ht="24" thickBot="1" x14ac:dyDescent="0.3">
      <c r="A3" s="659" t="s">
        <v>351</v>
      </c>
      <c r="B3" s="660" t="s">
        <v>283</v>
      </c>
      <c r="C3" s="659" t="s">
        <v>1</v>
      </c>
      <c r="D3" s="661" t="s">
        <v>2</v>
      </c>
      <c r="E3" s="659" t="s">
        <v>3</v>
      </c>
      <c r="F3" s="661" t="s">
        <v>4</v>
      </c>
      <c r="G3" s="659" t="s">
        <v>5</v>
      </c>
      <c r="H3" s="659" t="s">
        <v>6</v>
      </c>
      <c r="I3" s="659" t="s">
        <v>7</v>
      </c>
      <c r="J3" s="661" t="s">
        <v>8</v>
      </c>
      <c r="K3" s="659" t="s">
        <v>9</v>
      </c>
      <c r="L3" s="661" t="s">
        <v>10</v>
      </c>
      <c r="M3" s="659" t="s">
        <v>11</v>
      </c>
      <c r="N3" s="659" t="s">
        <v>12</v>
      </c>
      <c r="O3" s="662" t="s">
        <v>169</v>
      </c>
      <c r="P3" s="658"/>
      <c r="Q3" s="658"/>
    </row>
    <row r="4" spans="1:17" ht="12.75" customHeight="1" x14ac:dyDescent="0.25">
      <c r="A4" s="663" t="s">
        <v>284</v>
      </c>
      <c r="B4" s="664">
        <f>'[2]FGP simpl'!$C$16</f>
        <v>3.6636711021849497</v>
      </c>
      <c r="C4" s="665">
        <f t="shared" ref="C4:C23" si="0">$C$29*B4/100</f>
        <v>26495.964336525285</v>
      </c>
      <c r="D4" s="665">
        <f t="shared" ref="D4:D23" si="1">$D$29*B4/100</f>
        <v>34355.640699795986</v>
      </c>
      <c r="E4" s="665">
        <f t="shared" ref="E4:E23" si="2">$E$29*B4/100</f>
        <v>27055.978446520865</v>
      </c>
      <c r="F4" s="665">
        <f t="shared" ref="F4:F23" si="3">$F$29*B4/100</f>
        <v>23926.746282284919</v>
      </c>
      <c r="G4" s="665">
        <f t="shared" ref="G4:G23" si="4">$G$29*B4/100</f>
        <v>25964.125689141052</v>
      </c>
      <c r="H4" s="665">
        <f t="shared" ref="H4:H23" si="5">$H$29*B4/100</f>
        <v>23113.490982446336</v>
      </c>
      <c r="I4" s="665">
        <f t="shared" ref="I4:I23" si="6">$I$29*B4/100</f>
        <v>24585.242619260553</v>
      </c>
      <c r="J4" s="665">
        <f t="shared" ref="J4:J23" si="7">$J$29*B4/100</f>
        <v>23957.707966769485</v>
      </c>
      <c r="K4" s="665">
        <f t="shared" ref="K4:K23" si="8">$K$29*B4/100</f>
        <v>23186.649914768088</v>
      </c>
      <c r="L4" s="665">
        <f t="shared" ref="L4:L23" si="9">$L$29*B4/100</f>
        <v>23839.516105177448</v>
      </c>
      <c r="M4" s="665">
        <f t="shared" ref="M4:M23" si="10">$M$29*B4/100</f>
        <v>22454.994645470691</v>
      </c>
      <c r="N4" s="665">
        <f t="shared" ref="N4:N23" si="11">$N$29*B4/100</f>
        <v>24315.086259938773</v>
      </c>
      <c r="O4" s="666">
        <f>SUM(C4:N4)</f>
        <v>303251.14394809952</v>
      </c>
      <c r="P4" s="667"/>
      <c r="Q4" s="667"/>
    </row>
    <row r="5" spans="1:17" ht="12.75" customHeight="1" x14ac:dyDescent="0.25">
      <c r="A5" s="663" t="s">
        <v>148</v>
      </c>
      <c r="B5" s="664">
        <v>2.8774681766767136</v>
      </c>
      <c r="C5" s="665">
        <f t="shared" si="0"/>
        <v>20810.081489914217</v>
      </c>
      <c r="D5" s="665">
        <f t="shared" si="1"/>
        <v>26983.116127439902</v>
      </c>
      <c r="E5" s="665">
        <f t="shared" si="2"/>
        <v>21249.91976552831</v>
      </c>
      <c r="F5" s="665">
        <f t="shared" si="3"/>
        <v>18792.202978491361</v>
      </c>
      <c r="G5" s="665">
        <f t="shared" si="4"/>
        <v>20392.372383312853</v>
      </c>
      <c r="H5" s="665">
        <f t="shared" si="5"/>
        <v>18153.467628201968</v>
      </c>
      <c r="I5" s="665">
        <f t="shared" si="6"/>
        <v>19309.389756795652</v>
      </c>
      <c r="J5" s="665">
        <f t="shared" si="7"/>
        <v>18816.520462052453</v>
      </c>
      <c r="K5" s="665">
        <f t="shared" si="8"/>
        <v>18210.927070854981</v>
      </c>
      <c r="L5" s="665">
        <f t="shared" si="9"/>
        <v>18723.691899938771</v>
      </c>
      <c r="M5" s="665">
        <f t="shared" si="10"/>
        <v>17636.280849897674</v>
      </c>
      <c r="N5" s="665">
        <f t="shared" si="11"/>
        <v>19097.20741154865</v>
      </c>
      <c r="O5" s="666">
        <f t="shared" ref="O5:O23" si="12">SUM(C5:N5)</f>
        <v>238175.17782397682</v>
      </c>
      <c r="P5" s="667"/>
      <c r="Q5" s="658"/>
    </row>
    <row r="6" spans="1:17" ht="12.75" customHeight="1" x14ac:dyDescent="0.25">
      <c r="A6" s="663" t="s">
        <v>149</v>
      </c>
      <c r="B6" s="664">
        <v>4.7152682285520395</v>
      </c>
      <c r="C6" s="665">
        <f t="shared" si="0"/>
        <v>34101.199407980748</v>
      </c>
      <c r="D6" s="665">
        <f t="shared" si="1"/>
        <v>44216.867875144613</v>
      </c>
      <c r="E6" s="665">
        <f t="shared" si="2"/>
        <v>34821.956448324301</v>
      </c>
      <c r="F6" s="665">
        <f t="shared" si="3"/>
        <v>30794.529151429349</v>
      </c>
      <c r="G6" s="665">
        <f t="shared" si="4"/>
        <v>33416.705137948877</v>
      </c>
      <c r="H6" s="665">
        <f t="shared" si="5"/>
        <v>29747.842161774763</v>
      </c>
      <c r="I6" s="665">
        <f t="shared" si="6"/>
        <v>31642.036138207539</v>
      </c>
      <c r="J6" s="665">
        <f t="shared" si="7"/>
        <v>30834.377883228841</v>
      </c>
      <c r="K6" s="665">
        <f t="shared" si="8"/>
        <v>29842.000174213663</v>
      </c>
      <c r="L6" s="665">
        <f t="shared" si="9"/>
        <v>30682.260972541637</v>
      </c>
      <c r="M6" s="665">
        <f t="shared" si="10"/>
        <v>28900.335174996566</v>
      </c>
      <c r="N6" s="665">
        <f t="shared" si="11"/>
        <v>31294.335795485295</v>
      </c>
      <c r="O6" s="666">
        <f t="shared" si="12"/>
        <v>390294.44632127619</v>
      </c>
      <c r="P6" s="667"/>
      <c r="Q6" s="658"/>
    </row>
    <row r="7" spans="1:17" ht="12.75" customHeight="1" x14ac:dyDescent="0.25">
      <c r="A7" s="663" t="s">
        <v>285</v>
      </c>
      <c r="B7" s="664">
        <v>9.1392838894846484</v>
      </c>
      <c r="C7" s="665">
        <f t="shared" si="0"/>
        <v>66096.036801106078</v>
      </c>
      <c r="D7" s="665">
        <f t="shared" si="1"/>
        <v>85702.549383680409</v>
      </c>
      <c r="E7" s="665">
        <f t="shared" si="2"/>
        <v>67493.031179317157</v>
      </c>
      <c r="F7" s="665">
        <f t="shared" si="3"/>
        <v>59686.94261203205</v>
      </c>
      <c r="G7" s="665">
        <f t="shared" si="4"/>
        <v>64769.328085647096</v>
      </c>
      <c r="H7" s="665">
        <f t="shared" si="5"/>
        <v>57658.220367991045</v>
      </c>
      <c r="I7" s="665">
        <f t="shared" si="6"/>
        <v>61329.607795655364</v>
      </c>
      <c r="J7" s="665">
        <f t="shared" si="7"/>
        <v>59764.178700182085</v>
      </c>
      <c r="K7" s="665">
        <f t="shared" si="8"/>
        <v>57840.720443159196</v>
      </c>
      <c r="L7" s="665">
        <f t="shared" si="9"/>
        <v>59469.340832265356</v>
      </c>
      <c r="M7" s="665">
        <f t="shared" si="10"/>
        <v>56015.555184367717</v>
      </c>
      <c r="N7" s="665">
        <f t="shared" si="11"/>
        <v>60655.683856107695</v>
      </c>
      <c r="O7" s="666">
        <f t="shared" si="12"/>
        <v>756481.1952415111</v>
      </c>
      <c r="P7" s="667"/>
      <c r="Q7" s="658"/>
    </row>
    <row r="8" spans="1:17" ht="12.75" customHeight="1" x14ac:dyDescent="0.25">
      <c r="A8" s="663" t="s">
        <v>151</v>
      </c>
      <c r="B8" s="664">
        <v>5.3963653133391265</v>
      </c>
      <c r="C8" s="665">
        <f t="shared" si="0"/>
        <v>39026.948353476284</v>
      </c>
      <c r="D8" s="665">
        <f t="shared" si="1"/>
        <v>50603.774907456704</v>
      </c>
      <c r="E8" s="665">
        <f t="shared" si="2"/>
        <v>39851.815169812056</v>
      </c>
      <c r="F8" s="665">
        <f t="shared" si="3"/>
        <v>35242.645995647603</v>
      </c>
      <c r="G8" s="665">
        <f t="shared" si="4"/>
        <v>38243.582284582757</v>
      </c>
      <c r="H8" s="665">
        <f t="shared" si="5"/>
        <v>34044.770267031876</v>
      </c>
      <c r="I8" s="665">
        <f t="shared" si="6"/>
        <v>36212.571158879895</v>
      </c>
      <c r="J8" s="665">
        <f t="shared" si="7"/>
        <v>35288.250678910626</v>
      </c>
      <c r="K8" s="665">
        <f t="shared" si="8"/>
        <v>34152.52893688262</v>
      </c>
      <c r="L8" s="665">
        <f t="shared" si="9"/>
        <v>35114.16123571965</v>
      </c>
      <c r="M8" s="665">
        <f t="shared" si="10"/>
        <v>33074.845103799576</v>
      </c>
      <c r="N8" s="665">
        <f t="shared" si="11"/>
        <v>35814.64722794827</v>
      </c>
      <c r="O8" s="666">
        <f t="shared" si="12"/>
        <v>446670.54132014792</v>
      </c>
      <c r="P8" s="667"/>
      <c r="Q8" s="658"/>
    </row>
    <row r="9" spans="1:17" ht="12.75" customHeight="1" x14ac:dyDescent="0.25">
      <c r="A9" s="663" t="s">
        <v>286</v>
      </c>
      <c r="B9" s="664">
        <v>3.6295907588400458</v>
      </c>
      <c r="C9" s="665">
        <f t="shared" si="0"/>
        <v>26249.492549987299</v>
      </c>
      <c r="D9" s="665">
        <f t="shared" si="1"/>
        <v>34036.056327119913</v>
      </c>
      <c r="E9" s="665">
        <f t="shared" si="2"/>
        <v>26804.297275020555</v>
      </c>
      <c r="F9" s="665">
        <f t="shared" si="3"/>
        <v>23704.173975523991</v>
      </c>
      <c r="G9" s="665">
        <f t="shared" si="4"/>
        <v>25722.601192684906</v>
      </c>
      <c r="H9" s="665">
        <f t="shared" si="5"/>
        <v>22898.483770660503</v>
      </c>
      <c r="I9" s="665">
        <f t="shared" si="6"/>
        <v>24356.544822347929</v>
      </c>
      <c r="J9" s="665">
        <f t="shared" si="7"/>
        <v>23734.847647026945</v>
      </c>
      <c r="K9" s="665">
        <f t="shared" si="8"/>
        <v>22970.962161126092</v>
      </c>
      <c r="L9" s="665">
        <f t="shared" si="9"/>
        <v>23617.755234351385</v>
      </c>
      <c r="M9" s="665">
        <f t="shared" si="10"/>
        <v>22246.112923836557</v>
      </c>
      <c r="N9" s="665">
        <f t="shared" si="11"/>
        <v>24088.901521984139</v>
      </c>
      <c r="O9" s="666">
        <f t="shared" si="12"/>
        <v>300430.22940167016</v>
      </c>
      <c r="P9" s="667"/>
      <c r="Q9" s="658"/>
    </row>
    <row r="10" spans="1:17" ht="12.75" customHeight="1" x14ac:dyDescent="0.25">
      <c r="A10" s="663" t="s">
        <v>153</v>
      </c>
      <c r="B10" s="664">
        <v>4.0700473326514279</v>
      </c>
      <c r="C10" s="665">
        <f t="shared" si="0"/>
        <v>29434.909948545406</v>
      </c>
      <c r="D10" s="665">
        <f t="shared" si="1"/>
        <v>38166.385543818011</v>
      </c>
      <c r="E10" s="665">
        <f t="shared" si="2"/>
        <v>30057.041103625172</v>
      </c>
      <c r="F10" s="665">
        <f t="shared" si="3"/>
        <v>26580.712943136106</v>
      </c>
      <c r="G10" s="665">
        <f t="shared" si="4"/>
        <v>28844.079492477395</v>
      </c>
      <c r="H10" s="665">
        <f t="shared" si="5"/>
        <v>25677.250958816974</v>
      </c>
      <c r="I10" s="665">
        <f t="shared" si="6"/>
        <v>27312.250023053039</v>
      </c>
      <c r="J10" s="665">
        <f t="shared" si="7"/>
        <v>26615.108913144344</v>
      </c>
      <c r="K10" s="665">
        <f t="shared" si="8"/>
        <v>25758.524716490858</v>
      </c>
      <c r="L10" s="665">
        <f t="shared" si="9"/>
        <v>26483.807151169338</v>
      </c>
      <c r="M10" s="665">
        <f t="shared" si="10"/>
        <v>24945.713878900035</v>
      </c>
      <c r="N10" s="665">
        <f t="shared" si="11"/>
        <v>27012.127785278823</v>
      </c>
      <c r="O10" s="666">
        <f t="shared" si="12"/>
        <v>336887.91245845548</v>
      </c>
      <c r="P10" s="667"/>
      <c r="Q10" s="658"/>
    </row>
    <row r="11" spans="1:17" ht="12.75" customHeight="1" x14ac:dyDescent="0.25">
      <c r="A11" s="663" t="s">
        <v>154</v>
      </c>
      <c r="B11" s="664">
        <v>3.2056447774490451</v>
      </c>
      <c r="C11" s="665">
        <f t="shared" si="0"/>
        <v>23183.481084916079</v>
      </c>
      <c r="D11" s="665">
        <f t="shared" si="1"/>
        <v>30060.553230211095</v>
      </c>
      <c r="E11" s="665">
        <f t="shared" si="2"/>
        <v>23673.483123017828</v>
      </c>
      <c r="F11" s="665">
        <f t="shared" si="3"/>
        <v>20935.462578890361</v>
      </c>
      <c r="G11" s="665">
        <f t="shared" si="4"/>
        <v>22718.132057975297</v>
      </c>
      <c r="H11" s="665">
        <f t="shared" si="5"/>
        <v>20223.879161070578</v>
      </c>
      <c r="I11" s="665">
        <f t="shared" si="6"/>
        <v>21511.634752843518</v>
      </c>
      <c r="J11" s="665">
        <f t="shared" si="7"/>
        <v>20962.553482904579</v>
      </c>
      <c r="K11" s="665">
        <f t="shared" si="8"/>
        <v>20287.891880220264</v>
      </c>
      <c r="L11" s="665">
        <f t="shared" si="9"/>
        <v>20859.137779561683</v>
      </c>
      <c r="M11" s="665">
        <f t="shared" si="10"/>
        <v>19647.706987117417</v>
      </c>
      <c r="N11" s="665">
        <f t="shared" si="11"/>
        <v>21275.252911188014</v>
      </c>
      <c r="O11" s="666">
        <f t="shared" si="12"/>
        <v>265339.16902991669</v>
      </c>
      <c r="P11" s="667"/>
      <c r="Q11" s="658"/>
    </row>
    <row r="12" spans="1:17" ht="12.75" customHeight="1" x14ac:dyDescent="0.25">
      <c r="A12" s="663" t="s">
        <v>155</v>
      </c>
      <c r="B12" s="664">
        <v>3.1677886526185874</v>
      </c>
      <c r="C12" s="665">
        <f t="shared" si="0"/>
        <v>22909.702542724161</v>
      </c>
      <c r="D12" s="665">
        <f t="shared" si="1"/>
        <v>29705.561915028306</v>
      </c>
      <c r="E12" s="665">
        <f t="shared" si="2"/>
        <v>23393.918045008832</v>
      </c>
      <c r="F12" s="665">
        <f t="shared" si="3"/>
        <v>20688.23135403814</v>
      </c>
      <c r="G12" s="665">
        <f t="shared" si="4"/>
        <v>22449.848919072458</v>
      </c>
      <c r="H12" s="665">
        <f t="shared" si="5"/>
        <v>19985.051172560008</v>
      </c>
      <c r="I12" s="665">
        <f t="shared" si="6"/>
        <v>21257.599391146679</v>
      </c>
      <c r="J12" s="665">
        <f t="shared" si="7"/>
        <v>20715.002335941419</v>
      </c>
      <c r="K12" s="665">
        <f t="shared" si="8"/>
        <v>20048.307952216986</v>
      </c>
      <c r="L12" s="665">
        <f t="shared" si="9"/>
        <v>20612.807890113614</v>
      </c>
      <c r="M12" s="665">
        <f t="shared" si="10"/>
        <v>19415.683135451465</v>
      </c>
      <c r="N12" s="665">
        <f t="shared" si="11"/>
        <v>21024.009031744077</v>
      </c>
      <c r="O12" s="666">
        <f t="shared" si="12"/>
        <v>262205.72368504619</v>
      </c>
      <c r="P12" s="667"/>
      <c r="Q12" s="658"/>
    </row>
    <row r="13" spans="1:17" ht="12.75" customHeight="1" x14ac:dyDescent="0.25">
      <c r="A13" s="663" t="s">
        <v>156</v>
      </c>
      <c r="B13" s="664">
        <v>2.8145431996763457</v>
      </c>
      <c r="C13" s="665">
        <f t="shared" si="0"/>
        <v>20355.002990786907</v>
      </c>
      <c r="D13" s="665">
        <f t="shared" si="1"/>
        <v>26393.044627959971</v>
      </c>
      <c r="E13" s="665">
        <f t="shared" si="2"/>
        <v>20785.222806116635</v>
      </c>
      <c r="F13" s="665">
        <f t="shared" si="3"/>
        <v>18381.251799328878</v>
      </c>
      <c r="G13" s="665">
        <f t="shared" si="4"/>
        <v>19946.428419934291</v>
      </c>
      <c r="H13" s="665">
        <f t="shared" si="5"/>
        <v>17756.484425315321</v>
      </c>
      <c r="I13" s="665">
        <f t="shared" si="6"/>
        <v>18887.128646773297</v>
      </c>
      <c r="J13" s="665">
        <f t="shared" si="7"/>
        <v>18405.037503909341</v>
      </c>
      <c r="K13" s="665">
        <f t="shared" si="8"/>
        <v>17812.687334833856</v>
      </c>
      <c r="L13" s="665">
        <f t="shared" si="9"/>
        <v>18314.238933016182</v>
      </c>
      <c r="M13" s="665">
        <f t="shared" si="10"/>
        <v>17250.607577870895</v>
      </c>
      <c r="N13" s="665">
        <f t="shared" si="11"/>
        <v>18679.586342136568</v>
      </c>
      <c r="O13" s="666">
        <f t="shared" si="12"/>
        <v>232966.72140798214</v>
      </c>
      <c r="P13" s="667"/>
      <c r="Q13" s="658"/>
    </row>
    <row r="14" spans="1:17" ht="12.75" customHeight="1" x14ac:dyDescent="0.25">
      <c r="A14" s="663" t="s">
        <v>157</v>
      </c>
      <c r="B14" s="664">
        <v>3.814501471077032</v>
      </c>
      <c r="C14" s="665">
        <f t="shared" si="0"/>
        <v>27586.781706197518</v>
      </c>
      <c r="D14" s="665">
        <f t="shared" si="1"/>
        <v>35770.034572975179</v>
      </c>
      <c r="E14" s="665">
        <f t="shared" si="2"/>
        <v>28169.851143060467</v>
      </c>
      <c r="F14" s="665">
        <f t="shared" si="3"/>
        <v>24911.791027702169</v>
      </c>
      <c r="G14" s="665">
        <f t="shared" si="4"/>
        <v>27033.047692897882</v>
      </c>
      <c r="H14" s="665">
        <f t="shared" si="5"/>
        <v>24065.054666530061</v>
      </c>
      <c r="I14" s="665">
        <f t="shared" si="6"/>
        <v>25597.397124983767</v>
      </c>
      <c r="J14" s="665">
        <f t="shared" si="7"/>
        <v>24944.027379634241</v>
      </c>
      <c r="K14" s="665">
        <f t="shared" si="8"/>
        <v>24141.225492780628</v>
      </c>
      <c r="L14" s="665">
        <f t="shared" si="9"/>
        <v>24820.969654926554</v>
      </c>
      <c r="M14" s="665">
        <f t="shared" si="10"/>
        <v>23379.44856924846</v>
      </c>
      <c r="N14" s="665">
        <f t="shared" si="11"/>
        <v>25316.118647382656</v>
      </c>
      <c r="O14" s="666">
        <f t="shared" si="12"/>
        <v>315735.74767831952</v>
      </c>
      <c r="P14" s="667"/>
      <c r="Q14" s="658"/>
    </row>
    <row r="15" spans="1:17" ht="12.75" customHeight="1" x14ac:dyDescent="0.25">
      <c r="A15" s="663" t="s">
        <v>158</v>
      </c>
      <c r="B15" s="664">
        <v>3.0792318274418586</v>
      </c>
      <c r="C15" s="665">
        <f t="shared" si="0"/>
        <v>22269.252454221631</v>
      </c>
      <c r="D15" s="665">
        <f t="shared" si="1"/>
        <v>28875.130803056523</v>
      </c>
      <c r="E15" s="665">
        <f t="shared" si="2"/>
        <v>22739.931514437081</v>
      </c>
      <c r="F15" s="665">
        <f t="shared" si="3"/>
        <v>20109.883399631264</v>
      </c>
      <c r="G15" s="665">
        <f t="shared" si="4"/>
        <v>21822.25422637512</v>
      </c>
      <c r="H15" s="665">
        <f t="shared" si="5"/>
        <v>19426.360907231414</v>
      </c>
      <c r="I15" s="665">
        <f t="shared" si="6"/>
        <v>20663.334520792218</v>
      </c>
      <c r="J15" s="665">
        <f t="shared" si="7"/>
        <v>20135.905987804974</v>
      </c>
      <c r="K15" s="665">
        <f t="shared" si="8"/>
        <v>19487.849317785647</v>
      </c>
      <c r="L15" s="665">
        <f t="shared" si="9"/>
        <v>20036.568429435785</v>
      </c>
      <c r="M15" s="665">
        <f t="shared" si="10"/>
        <v>18872.909786070457</v>
      </c>
      <c r="N15" s="665">
        <f t="shared" si="11"/>
        <v>20436.274275260534</v>
      </c>
      <c r="O15" s="666">
        <f t="shared" si="12"/>
        <v>254875.65562210264</v>
      </c>
      <c r="P15" s="667"/>
      <c r="Q15" s="658"/>
    </row>
    <row r="16" spans="1:17" ht="12.75" customHeight="1" x14ac:dyDescent="0.25">
      <c r="A16" s="663" t="s">
        <v>159</v>
      </c>
      <c r="B16" s="664">
        <v>3.9687689066587866</v>
      </c>
      <c r="C16" s="665">
        <f t="shared" si="0"/>
        <v>28702.456218853331</v>
      </c>
      <c r="D16" s="665">
        <f t="shared" si="1"/>
        <v>37216.659130885106</v>
      </c>
      <c r="E16" s="665">
        <f t="shared" si="2"/>
        <v>29309.106358849564</v>
      </c>
      <c r="F16" s="665">
        <f t="shared" si="3"/>
        <v>25919.282608641857</v>
      </c>
      <c r="G16" s="665">
        <f t="shared" si="4"/>
        <v>28126.327896133753</v>
      </c>
      <c r="H16" s="665">
        <f t="shared" si="5"/>
        <v>25038.302232087324</v>
      </c>
      <c r="I16" s="665">
        <f t="shared" si="6"/>
        <v>26632.616233425753</v>
      </c>
      <c r="J16" s="665">
        <f t="shared" si="7"/>
        <v>25952.822674672032</v>
      </c>
      <c r="K16" s="665">
        <f t="shared" si="8"/>
        <v>25117.553586192167</v>
      </c>
      <c r="L16" s="665">
        <f t="shared" si="9"/>
        <v>25824.788205358764</v>
      </c>
      <c r="M16" s="665">
        <f t="shared" si="10"/>
        <v>24324.968607303425</v>
      </c>
      <c r="N16" s="665">
        <f t="shared" si="11"/>
        <v>26339.962190825423</v>
      </c>
      <c r="O16" s="666">
        <f t="shared" si="12"/>
        <v>328504.84594322852</v>
      </c>
      <c r="P16" s="667"/>
      <c r="Q16" s="658"/>
    </row>
    <row r="17" spans="1:16" ht="12.75" customHeight="1" x14ac:dyDescent="0.25">
      <c r="A17" s="663" t="s">
        <v>287</v>
      </c>
      <c r="B17" s="664">
        <v>2.5568285677800717</v>
      </c>
      <c r="C17" s="665">
        <f t="shared" si="0"/>
        <v>18491.190026885186</v>
      </c>
      <c r="D17" s="665">
        <f t="shared" si="1"/>
        <v>23976.3562709652</v>
      </c>
      <c r="E17" s="665">
        <f t="shared" si="2"/>
        <v>18882.016614441774</v>
      </c>
      <c r="F17" s="665">
        <f t="shared" si="3"/>
        <v>16698.166053193767</v>
      </c>
      <c r="G17" s="665">
        <f t="shared" si="4"/>
        <v>18120.026729429108</v>
      </c>
      <c r="H17" s="665">
        <f t="shared" si="5"/>
        <v>16130.605722167937</v>
      </c>
      <c r="I17" s="665">
        <f t="shared" si="6"/>
        <v>17157.722110273706</v>
      </c>
      <c r="J17" s="665">
        <f t="shared" si="7"/>
        <v>16719.773811420073</v>
      </c>
      <c r="K17" s="665">
        <f t="shared" si="8"/>
        <v>16181.662392630797</v>
      </c>
      <c r="L17" s="665">
        <f t="shared" si="9"/>
        <v>16637.289243409203</v>
      </c>
      <c r="M17" s="665">
        <f t="shared" si="10"/>
        <v>15671.049665087994</v>
      </c>
      <c r="N17" s="665">
        <f t="shared" si="11"/>
        <v>16969.183489307034</v>
      </c>
      <c r="O17" s="666">
        <f t="shared" si="12"/>
        <v>211635.0421292118</v>
      </c>
      <c r="P17" s="667"/>
    </row>
    <row r="18" spans="1:16" ht="12.75" customHeight="1" x14ac:dyDescent="0.25">
      <c r="A18" s="663" t="s">
        <v>288</v>
      </c>
      <c r="B18" s="664">
        <v>3.0448340829893383</v>
      </c>
      <c r="C18" s="665">
        <f t="shared" si="0"/>
        <v>22020.485197322578</v>
      </c>
      <c r="D18" s="665">
        <f t="shared" si="1"/>
        <v>28552.570039185164</v>
      </c>
      <c r="E18" s="665">
        <f t="shared" si="2"/>
        <v>22485.906355911997</v>
      </c>
      <c r="F18" s="665">
        <f t="shared" si="3"/>
        <v>19885.238205987247</v>
      </c>
      <c r="G18" s="665">
        <f t="shared" si="4"/>
        <v>21578.480335248387</v>
      </c>
      <c r="H18" s="665">
        <f t="shared" si="5"/>
        <v>19209.351264704917</v>
      </c>
      <c r="I18" s="665">
        <f t="shared" si="6"/>
        <v>20432.506788352974</v>
      </c>
      <c r="J18" s="665">
        <f t="shared" si="7"/>
        <v>19910.970098822589</v>
      </c>
      <c r="K18" s="665">
        <f t="shared" si="8"/>
        <v>19270.152795299611</v>
      </c>
      <c r="L18" s="665">
        <f t="shared" si="9"/>
        <v>19812.74222888831</v>
      </c>
      <c r="M18" s="665">
        <f t="shared" si="10"/>
        <v>18662.082682339187</v>
      </c>
      <c r="N18" s="665">
        <f t="shared" si="11"/>
        <v>20207.983006698909</v>
      </c>
      <c r="O18" s="666">
        <f t="shared" si="12"/>
        <v>252028.46899876185</v>
      </c>
      <c r="P18" s="667"/>
    </row>
    <row r="19" spans="1:16" ht="12.75" customHeight="1" x14ac:dyDescent="0.25">
      <c r="A19" s="663" t="s">
        <v>289</v>
      </c>
      <c r="B19" s="664">
        <v>6.4580166897572191</v>
      </c>
      <c r="C19" s="665">
        <f t="shared" si="0"/>
        <v>46704.896570667734</v>
      </c>
      <c r="D19" s="665">
        <f t="shared" si="1"/>
        <v>60559.284618716418</v>
      </c>
      <c r="E19" s="665">
        <f t="shared" si="2"/>
        <v>47692.043169797267</v>
      </c>
      <c r="F19" s="665">
        <f t="shared" si="3"/>
        <v>42176.091279162552</v>
      </c>
      <c r="G19" s="665">
        <f t="shared" si="4"/>
        <v>45767.41534889079</v>
      </c>
      <c r="H19" s="665">
        <f t="shared" si="5"/>
        <v>40742.552035899454</v>
      </c>
      <c r="I19" s="665">
        <f t="shared" si="6"/>
        <v>43336.834210425259</v>
      </c>
      <c r="J19" s="665">
        <f t="shared" si="7"/>
        <v>42230.66797820769</v>
      </c>
      <c r="K19" s="665">
        <f t="shared" si="8"/>
        <v>40871.510556673042</v>
      </c>
      <c r="L19" s="665">
        <f t="shared" si="9"/>
        <v>42022.329130787773</v>
      </c>
      <c r="M19" s="665">
        <f t="shared" si="10"/>
        <v>39581.809104636734</v>
      </c>
      <c r="N19" s="665">
        <f t="shared" si="11"/>
        <v>42860.62490323509</v>
      </c>
      <c r="O19" s="666">
        <f t="shared" si="12"/>
        <v>534546.05890709977</v>
      </c>
      <c r="P19" s="667"/>
    </row>
    <row r="20" spans="1:16" ht="12.75" customHeight="1" x14ac:dyDescent="0.25">
      <c r="A20" s="663" t="s">
        <v>163</v>
      </c>
      <c r="B20" s="664">
        <v>3.6739352083662298</v>
      </c>
      <c r="C20" s="665">
        <f t="shared" si="0"/>
        <v>26570.195178688849</v>
      </c>
      <c r="D20" s="665">
        <f t="shared" si="1"/>
        <v>34451.891136648323</v>
      </c>
      <c r="E20" s="665">
        <f t="shared" si="2"/>
        <v>27131.778218898875</v>
      </c>
      <c r="F20" s="665">
        <f t="shared" si="3"/>
        <v>23993.779227536874</v>
      </c>
      <c r="G20" s="665">
        <f t="shared" si="4"/>
        <v>26036.866537198759</v>
      </c>
      <c r="H20" s="665">
        <f t="shared" si="5"/>
        <v>23178.24551937035</v>
      </c>
      <c r="I20" s="665">
        <f t="shared" si="6"/>
        <v>24654.120401599183</v>
      </c>
      <c r="J20" s="665">
        <f t="shared" si="7"/>
        <v>24024.827653982775</v>
      </c>
      <c r="K20" s="665">
        <f t="shared" si="8"/>
        <v>23251.609413062411</v>
      </c>
      <c r="L20" s="665">
        <f t="shared" si="9"/>
        <v>23906.304667193275</v>
      </c>
      <c r="M20" s="665">
        <f t="shared" si="10"/>
        <v>22517.904345308034</v>
      </c>
      <c r="N20" s="665">
        <f t="shared" si="11"/>
        <v>24383.207174785672</v>
      </c>
      <c r="O20" s="666">
        <f t="shared" si="12"/>
        <v>304100.72947427334</v>
      </c>
      <c r="P20" s="667"/>
    </row>
    <row r="21" spans="1:16" ht="12.75" customHeight="1" x14ac:dyDescent="0.25">
      <c r="A21" s="663" t="s">
        <v>164</v>
      </c>
      <c r="B21" s="664">
        <v>21.979340072457017</v>
      </c>
      <c r="C21" s="665">
        <f t="shared" si="0"/>
        <v>158956.35674088498</v>
      </c>
      <c r="D21" s="665">
        <f t="shared" si="1"/>
        <v>206108.65148283207</v>
      </c>
      <c r="E21" s="665">
        <f t="shared" si="2"/>
        <v>162316.03074700048</v>
      </c>
      <c r="F21" s="665">
        <f t="shared" si="3"/>
        <v>143542.93240244815</v>
      </c>
      <c r="G21" s="665">
        <f t="shared" si="4"/>
        <v>155765.71484959673</v>
      </c>
      <c r="H21" s="665">
        <f t="shared" si="5"/>
        <v>138663.99695700925</v>
      </c>
      <c r="I21" s="665">
        <f t="shared" si="6"/>
        <v>147493.42755421629</v>
      </c>
      <c r="J21" s="665">
        <f t="shared" si="7"/>
        <v>143728.67980540049</v>
      </c>
      <c r="K21" s="665">
        <f t="shared" si="8"/>
        <v>139102.89690408114</v>
      </c>
      <c r="L21" s="665">
        <f t="shared" si="9"/>
        <v>143019.61530499297</v>
      </c>
      <c r="M21" s="665">
        <f t="shared" si="10"/>
        <v>134713.50180524107</v>
      </c>
      <c r="N21" s="665">
        <f t="shared" si="11"/>
        <v>145872.68750177842</v>
      </c>
      <c r="O21" s="666">
        <f t="shared" si="12"/>
        <v>1819284.4920554818</v>
      </c>
      <c r="P21" s="667"/>
    </row>
    <row r="22" spans="1:16" ht="12.75" customHeight="1" x14ac:dyDescent="0.25">
      <c r="A22" s="663" t="s">
        <v>165</v>
      </c>
      <c r="B22" s="664">
        <v>3.7144952969630278</v>
      </c>
      <c r="C22" s="665">
        <f t="shared" si="0"/>
        <v>26863.529004508026</v>
      </c>
      <c r="D22" s="665">
        <f t="shared" si="1"/>
        <v>34832.23855095428</v>
      </c>
      <c r="E22" s="665">
        <f t="shared" si="2"/>
        <v>27431.311897620606</v>
      </c>
      <c r="F22" s="665">
        <f t="shared" si="3"/>
        <v>24258.669530725885</v>
      </c>
      <c r="G22" s="665">
        <f t="shared" si="4"/>
        <v>26324.312437476736</v>
      </c>
      <c r="H22" s="665">
        <f t="shared" si="5"/>
        <v>23434.132365072797</v>
      </c>
      <c r="I22" s="665">
        <f t="shared" si="6"/>
        <v>24926.300843292298</v>
      </c>
      <c r="J22" s="665">
        <f t="shared" si="7"/>
        <v>24290.06073048052</v>
      </c>
      <c r="K22" s="665">
        <f t="shared" si="8"/>
        <v>23508.30619303403</v>
      </c>
      <c r="L22" s="665">
        <f t="shared" si="9"/>
        <v>24170.229254952843</v>
      </c>
      <c r="M22" s="665">
        <f t="shared" si="10"/>
        <v>22766.501052506381</v>
      </c>
      <c r="N22" s="665">
        <f t="shared" si="11"/>
        <v>24652.396745965721</v>
      </c>
      <c r="O22" s="666">
        <f t="shared" si="12"/>
        <v>307457.98860659008</v>
      </c>
      <c r="P22" s="667"/>
    </row>
    <row r="23" spans="1:16" ht="12.75" customHeight="1" thickBot="1" x14ac:dyDescent="0.3">
      <c r="A23" s="663" t="s">
        <v>166</v>
      </c>
      <c r="B23" s="664">
        <v>5.0303764450364916</v>
      </c>
      <c r="C23" s="665">
        <f t="shared" si="0"/>
        <v>36380.087395807735</v>
      </c>
      <c r="D23" s="665">
        <f t="shared" si="1"/>
        <v>47171.757756126848</v>
      </c>
      <c r="E23" s="665">
        <f t="shared" si="2"/>
        <v>37149.010617690234</v>
      </c>
      <c r="F23" s="665">
        <f t="shared" si="3"/>
        <v>32852.441594167554</v>
      </c>
      <c r="G23" s="665">
        <f t="shared" si="4"/>
        <v>35649.850283975786</v>
      </c>
      <c r="H23" s="665">
        <f t="shared" si="5"/>
        <v>31735.807434057129</v>
      </c>
      <c r="I23" s="665">
        <f t="shared" si="6"/>
        <v>33756.585107674953</v>
      </c>
      <c r="J23" s="665">
        <f t="shared" si="7"/>
        <v>32894.953305504554</v>
      </c>
      <c r="K23" s="665">
        <f t="shared" si="8"/>
        <v>31836.257763693946</v>
      </c>
      <c r="L23" s="665">
        <f t="shared" si="9"/>
        <v>32732.670846199449</v>
      </c>
      <c r="M23" s="665">
        <f t="shared" si="10"/>
        <v>30831.663920549719</v>
      </c>
      <c r="N23" s="665">
        <f t="shared" si="11"/>
        <v>33385.648921400309</v>
      </c>
      <c r="O23" s="666">
        <f t="shared" si="12"/>
        <v>416376.73494684818</v>
      </c>
      <c r="P23" s="667"/>
    </row>
    <row r="24" spans="1:16" ht="15.75" thickBot="1" x14ac:dyDescent="0.3">
      <c r="A24" s="668" t="s">
        <v>290</v>
      </c>
      <c r="B24" s="673">
        <f>SUM(B4:B23)</f>
        <v>100</v>
      </c>
      <c r="C24" s="670">
        <f>SUM(C4:C23)</f>
        <v>723208.05000000016</v>
      </c>
      <c r="D24" s="670">
        <f t="shared" ref="D24:N24" si="13">SUM(D4:D23)</f>
        <v>937738.125</v>
      </c>
      <c r="E24" s="670">
        <f t="shared" si="13"/>
        <v>738493.65</v>
      </c>
      <c r="F24" s="670">
        <f t="shared" si="13"/>
        <v>653081.17500000005</v>
      </c>
      <c r="G24" s="670">
        <f t="shared" si="13"/>
        <v>708691.50000000012</v>
      </c>
      <c r="H24" s="670">
        <f t="shared" si="13"/>
        <v>630883.35</v>
      </c>
      <c r="I24" s="670">
        <f t="shared" si="13"/>
        <v>671054.84999999986</v>
      </c>
      <c r="J24" s="670">
        <f t="shared" si="13"/>
        <v>653926.27500000002</v>
      </c>
      <c r="K24" s="670">
        <f t="shared" si="13"/>
        <v>632880.22499999998</v>
      </c>
      <c r="L24" s="670">
        <f t="shared" si="13"/>
        <v>650700.22500000009</v>
      </c>
      <c r="M24" s="670">
        <f t="shared" si="13"/>
        <v>612909.67500000005</v>
      </c>
      <c r="N24" s="670">
        <f t="shared" si="13"/>
        <v>663680.92500000016</v>
      </c>
      <c r="O24" s="670">
        <f>SUM(C24:N24)</f>
        <v>8277248.0249999985</v>
      </c>
      <c r="P24" s="658"/>
    </row>
    <row r="25" spans="1:16" x14ac:dyDescent="0.25">
      <c r="A25" s="671"/>
      <c r="B25" s="671"/>
      <c r="C25" s="671"/>
      <c r="D25" s="671"/>
      <c r="E25" s="671"/>
      <c r="F25" s="671"/>
      <c r="G25" s="671"/>
      <c r="H25" s="671"/>
      <c r="I25" s="671"/>
      <c r="J25" s="671"/>
      <c r="K25" s="671"/>
      <c r="L25" s="671"/>
      <c r="M25" s="671"/>
      <c r="N25" s="671"/>
      <c r="O25" s="671"/>
      <c r="P25" s="658"/>
    </row>
    <row r="26" spans="1:16" x14ac:dyDescent="0.25">
      <c r="A26" s="672" t="s">
        <v>291</v>
      </c>
      <c r="B26" s="658"/>
      <c r="C26" s="658"/>
      <c r="D26" s="658"/>
      <c r="E26" s="658"/>
      <c r="F26" s="658"/>
      <c r="G26" s="658"/>
      <c r="H26" s="658"/>
      <c r="I26" s="658"/>
      <c r="J26" s="658"/>
      <c r="K26" s="658"/>
      <c r="L26" s="658"/>
      <c r="M26" s="658"/>
      <c r="N26" s="658"/>
      <c r="O26" s="667"/>
      <c r="P26" s="658"/>
    </row>
    <row r="29" spans="1:16" hidden="1" x14ac:dyDescent="0.25">
      <c r="A29" s="658" t="s">
        <v>353</v>
      </c>
      <c r="B29" s="658"/>
      <c r="C29" s="667">
        <v>723208.05</v>
      </c>
      <c r="D29" s="667">
        <v>937738.125</v>
      </c>
      <c r="E29" s="667">
        <v>738493.65</v>
      </c>
      <c r="F29" s="667">
        <v>653081.17500000005</v>
      </c>
      <c r="G29" s="667">
        <v>708691.5</v>
      </c>
      <c r="H29" s="667">
        <v>630883.35</v>
      </c>
      <c r="I29" s="667">
        <v>671054.84999999986</v>
      </c>
      <c r="J29" s="667">
        <v>653926.27500000002</v>
      </c>
      <c r="K29" s="667">
        <v>632880.22499999998</v>
      </c>
      <c r="L29" s="667">
        <v>650700.22499999998</v>
      </c>
      <c r="M29" s="667">
        <v>612909.67500000005</v>
      </c>
      <c r="N29" s="667">
        <v>663680.92500000005</v>
      </c>
      <c r="O29" s="667">
        <f>SUM(C29:N29)</f>
        <v>8277248.0249999985</v>
      </c>
      <c r="P29" s="658"/>
    </row>
    <row r="30" spans="1:16" x14ac:dyDescent="0.25">
      <c r="A30" s="658"/>
      <c r="B30" s="658"/>
      <c r="C30" s="658"/>
      <c r="D30" s="658"/>
      <c r="E30" s="658"/>
      <c r="F30" s="658"/>
      <c r="G30" s="658"/>
      <c r="H30" s="658"/>
      <c r="I30" s="658"/>
      <c r="J30" s="658"/>
      <c r="K30" s="658"/>
      <c r="L30" s="658"/>
      <c r="M30" s="658"/>
      <c r="N30" s="658"/>
      <c r="O30" s="658"/>
      <c r="P30" s="658"/>
    </row>
  </sheetData>
  <mergeCells count="1">
    <mergeCell ref="A1:O1"/>
  </mergeCells>
  <printOptions horizontalCentered="1"/>
  <pageMargins left="0.70866141732283472" right="0.47244094488188981" top="0.98425196850393704" bottom="0.98425196850393704" header="0" footer="0"/>
  <pageSetup paperSize="5" orientation="landscape"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4">
    <tabColor rgb="FF00B050"/>
  </sheetPr>
  <dimension ref="A1:R187"/>
  <sheetViews>
    <sheetView topLeftCell="A67" workbookViewId="0">
      <selection activeCell="B63" sqref="B63:M63"/>
    </sheetView>
  </sheetViews>
  <sheetFormatPr baseColWidth="10" defaultRowHeight="12.75" x14ac:dyDescent="0.2"/>
  <cols>
    <col min="1" max="1" width="18" style="658" customWidth="1"/>
    <col min="2" max="2" width="13.7109375" style="787" bestFit="1" customWidth="1"/>
    <col min="3" max="3" width="18.42578125" style="787" bestFit="1" customWidth="1"/>
    <col min="4" max="13" width="13.7109375" style="787" bestFit="1" customWidth="1"/>
    <col min="14" max="14" width="15.28515625" style="658" bestFit="1" customWidth="1"/>
    <col min="15" max="15" width="11.7109375" style="658" bestFit="1" customWidth="1"/>
    <col min="16" max="16" width="17.85546875" style="658" bestFit="1" customWidth="1"/>
    <col min="17" max="17" width="11.42578125" style="658"/>
    <col min="18" max="18" width="15.28515625" style="658" bestFit="1" customWidth="1"/>
    <col min="19" max="256" width="11.42578125" style="658"/>
    <col min="257" max="257" width="18" style="658" customWidth="1"/>
    <col min="258" max="258" width="13.7109375" style="658" bestFit="1" customWidth="1"/>
    <col min="259" max="259" width="18.42578125" style="658" bestFit="1" customWidth="1"/>
    <col min="260" max="269" width="13.7109375" style="658" bestFit="1" customWidth="1"/>
    <col min="270" max="270" width="15.28515625" style="658" bestFit="1" customWidth="1"/>
    <col min="271" max="271" width="11.42578125" style="658"/>
    <col min="272" max="272" width="13.7109375" style="658" bestFit="1" customWidth="1"/>
    <col min="273" max="512" width="11.42578125" style="658"/>
    <col min="513" max="513" width="18" style="658" customWidth="1"/>
    <col min="514" max="514" width="13.7109375" style="658" bestFit="1" customWidth="1"/>
    <col min="515" max="515" width="18.42578125" style="658" bestFit="1" customWidth="1"/>
    <col min="516" max="525" width="13.7109375" style="658" bestFit="1" customWidth="1"/>
    <col min="526" max="526" width="15.28515625" style="658" bestFit="1" customWidth="1"/>
    <col min="527" max="527" width="11.42578125" style="658"/>
    <col min="528" max="528" width="13.7109375" style="658" bestFit="1" customWidth="1"/>
    <col min="529" max="768" width="11.42578125" style="658"/>
    <col min="769" max="769" width="18" style="658" customWidth="1"/>
    <col min="770" max="770" width="13.7109375" style="658" bestFit="1" customWidth="1"/>
    <col min="771" max="771" width="18.42578125" style="658" bestFit="1" customWidth="1"/>
    <col min="772" max="781" width="13.7109375" style="658" bestFit="1" customWidth="1"/>
    <col min="782" max="782" width="15.28515625" style="658" bestFit="1" customWidth="1"/>
    <col min="783" max="783" width="11.42578125" style="658"/>
    <col min="784" max="784" width="13.7109375" style="658" bestFit="1" customWidth="1"/>
    <col min="785" max="1024" width="11.42578125" style="658"/>
    <col min="1025" max="1025" width="18" style="658" customWidth="1"/>
    <col min="1026" max="1026" width="13.7109375" style="658" bestFit="1" customWidth="1"/>
    <col min="1027" max="1027" width="18.42578125" style="658" bestFit="1" customWidth="1"/>
    <col min="1028" max="1037" width="13.7109375" style="658" bestFit="1" customWidth="1"/>
    <col min="1038" max="1038" width="15.28515625" style="658" bestFit="1" customWidth="1"/>
    <col min="1039" max="1039" width="11.42578125" style="658"/>
    <col min="1040" max="1040" width="13.7109375" style="658" bestFit="1" customWidth="1"/>
    <col min="1041" max="1280" width="11.42578125" style="658"/>
    <col min="1281" max="1281" width="18" style="658" customWidth="1"/>
    <col min="1282" max="1282" width="13.7109375" style="658" bestFit="1" customWidth="1"/>
    <col min="1283" max="1283" width="18.42578125" style="658" bestFit="1" customWidth="1"/>
    <col min="1284" max="1293" width="13.7109375" style="658" bestFit="1" customWidth="1"/>
    <col min="1294" max="1294" width="15.28515625" style="658" bestFit="1" customWidth="1"/>
    <col min="1295" max="1295" width="11.42578125" style="658"/>
    <col min="1296" max="1296" width="13.7109375" style="658" bestFit="1" customWidth="1"/>
    <col min="1297" max="1536" width="11.42578125" style="658"/>
    <col min="1537" max="1537" width="18" style="658" customWidth="1"/>
    <col min="1538" max="1538" width="13.7109375" style="658" bestFit="1" customWidth="1"/>
    <col min="1539" max="1539" width="18.42578125" style="658" bestFit="1" customWidth="1"/>
    <col min="1540" max="1549" width="13.7109375" style="658" bestFit="1" customWidth="1"/>
    <col min="1550" max="1550" width="15.28515625" style="658" bestFit="1" customWidth="1"/>
    <col min="1551" max="1551" width="11.42578125" style="658"/>
    <col min="1552" max="1552" width="13.7109375" style="658" bestFit="1" customWidth="1"/>
    <col min="1553" max="1792" width="11.42578125" style="658"/>
    <col min="1793" max="1793" width="18" style="658" customWidth="1"/>
    <col min="1794" max="1794" width="13.7109375" style="658" bestFit="1" customWidth="1"/>
    <col min="1795" max="1795" width="18.42578125" style="658" bestFit="1" customWidth="1"/>
    <col min="1796" max="1805" width="13.7109375" style="658" bestFit="1" customWidth="1"/>
    <col min="1806" max="1806" width="15.28515625" style="658" bestFit="1" customWidth="1"/>
    <col min="1807" max="1807" width="11.42578125" style="658"/>
    <col min="1808" max="1808" width="13.7109375" style="658" bestFit="1" customWidth="1"/>
    <col min="1809" max="2048" width="11.42578125" style="658"/>
    <col min="2049" max="2049" width="18" style="658" customWidth="1"/>
    <col min="2050" max="2050" width="13.7109375" style="658" bestFit="1" customWidth="1"/>
    <col min="2051" max="2051" width="18.42578125" style="658" bestFit="1" customWidth="1"/>
    <col min="2052" max="2061" width="13.7109375" style="658" bestFit="1" customWidth="1"/>
    <col min="2062" max="2062" width="15.28515625" style="658" bestFit="1" customWidth="1"/>
    <col min="2063" max="2063" width="11.42578125" style="658"/>
    <col min="2064" max="2064" width="13.7109375" style="658" bestFit="1" customWidth="1"/>
    <col min="2065" max="2304" width="11.42578125" style="658"/>
    <col min="2305" max="2305" width="18" style="658" customWidth="1"/>
    <col min="2306" max="2306" width="13.7109375" style="658" bestFit="1" customWidth="1"/>
    <col min="2307" max="2307" width="18.42578125" style="658" bestFit="1" customWidth="1"/>
    <col min="2308" max="2317" width="13.7109375" style="658" bestFit="1" customWidth="1"/>
    <col min="2318" max="2318" width="15.28515625" style="658" bestFit="1" customWidth="1"/>
    <col min="2319" max="2319" width="11.42578125" style="658"/>
    <col min="2320" max="2320" width="13.7109375" style="658" bestFit="1" customWidth="1"/>
    <col min="2321" max="2560" width="11.42578125" style="658"/>
    <col min="2561" max="2561" width="18" style="658" customWidth="1"/>
    <col min="2562" max="2562" width="13.7109375" style="658" bestFit="1" customWidth="1"/>
    <col min="2563" max="2563" width="18.42578125" style="658" bestFit="1" customWidth="1"/>
    <col min="2564" max="2573" width="13.7109375" style="658" bestFit="1" customWidth="1"/>
    <col min="2574" max="2574" width="15.28515625" style="658" bestFit="1" customWidth="1"/>
    <col min="2575" max="2575" width="11.42578125" style="658"/>
    <col min="2576" max="2576" width="13.7109375" style="658" bestFit="1" customWidth="1"/>
    <col min="2577" max="2816" width="11.42578125" style="658"/>
    <col min="2817" max="2817" width="18" style="658" customWidth="1"/>
    <col min="2818" max="2818" width="13.7109375" style="658" bestFit="1" customWidth="1"/>
    <col min="2819" max="2819" width="18.42578125" style="658" bestFit="1" customWidth="1"/>
    <col min="2820" max="2829" width="13.7109375" style="658" bestFit="1" customWidth="1"/>
    <col min="2830" max="2830" width="15.28515625" style="658" bestFit="1" customWidth="1"/>
    <col min="2831" max="2831" width="11.42578125" style="658"/>
    <col min="2832" max="2832" width="13.7109375" style="658" bestFit="1" customWidth="1"/>
    <col min="2833" max="3072" width="11.42578125" style="658"/>
    <col min="3073" max="3073" width="18" style="658" customWidth="1"/>
    <col min="3074" max="3074" width="13.7109375" style="658" bestFit="1" customWidth="1"/>
    <col min="3075" max="3075" width="18.42578125" style="658" bestFit="1" customWidth="1"/>
    <col min="3076" max="3085" width="13.7109375" style="658" bestFit="1" customWidth="1"/>
    <col min="3086" max="3086" width="15.28515625" style="658" bestFit="1" customWidth="1"/>
    <col min="3087" max="3087" width="11.42578125" style="658"/>
    <col min="3088" max="3088" width="13.7109375" style="658" bestFit="1" customWidth="1"/>
    <col min="3089" max="3328" width="11.42578125" style="658"/>
    <col min="3329" max="3329" width="18" style="658" customWidth="1"/>
    <col min="3330" max="3330" width="13.7109375" style="658" bestFit="1" customWidth="1"/>
    <col min="3331" max="3331" width="18.42578125" style="658" bestFit="1" customWidth="1"/>
    <col min="3332" max="3341" width="13.7109375" style="658" bestFit="1" customWidth="1"/>
    <col min="3342" max="3342" width="15.28515625" style="658" bestFit="1" customWidth="1"/>
    <col min="3343" max="3343" width="11.42578125" style="658"/>
    <col min="3344" max="3344" width="13.7109375" style="658" bestFit="1" customWidth="1"/>
    <col min="3345" max="3584" width="11.42578125" style="658"/>
    <col min="3585" max="3585" width="18" style="658" customWidth="1"/>
    <col min="3586" max="3586" width="13.7109375" style="658" bestFit="1" customWidth="1"/>
    <col min="3587" max="3587" width="18.42578125" style="658" bestFit="1" customWidth="1"/>
    <col min="3588" max="3597" width="13.7109375" style="658" bestFit="1" customWidth="1"/>
    <col min="3598" max="3598" width="15.28515625" style="658" bestFit="1" customWidth="1"/>
    <col min="3599" max="3599" width="11.42578125" style="658"/>
    <col min="3600" max="3600" width="13.7109375" style="658" bestFit="1" customWidth="1"/>
    <col min="3601" max="3840" width="11.42578125" style="658"/>
    <col min="3841" max="3841" width="18" style="658" customWidth="1"/>
    <col min="3842" max="3842" width="13.7109375" style="658" bestFit="1" customWidth="1"/>
    <col min="3843" max="3843" width="18.42578125" style="658" bestFit="1" customWidth="1"/>
    <col min="3844" max="3853" width="13.7109375" style="658" bestFit="1" customWidth="1"/>
    <col min="3854" max="3854" width="15.28515625" style="658" bestFit="1" customWidth="1"/>
    <col min="3855" max="3855" width="11.42578125" style="658"/>
    <col min="3856" max="3856" width="13.7109375" style="658" bestFit="1" customWidth="1"/>
    <col min="3857" max="4096" width="11.42578125" style="658"/>
    <col min="4097" max="4097" width="18" style="658" customWidth="1"/>
    <col min="4098" max="4098" width="13.7109375" style="658" bestFit="1" customWidth="1"/>
    <col min="4099" max="4099" width="18.42578125" style="658" bestFit="1" customWidth="1"/>
    <col min="4100" max="4109" width="13.7109375" style="658" bestFit="1" customWidth="1"/>
    <col min="4110" max="4110" width="15.28515625" style="658" bestFit="1" customWidth="1"/>
    <col min="4111" max="4111" width="11.42578125" style="658"/>
    <col min="4112" max="4112" width="13.7109375" style="658" bestFit="1" customWidth="1"/>
    <col min="4113" max="4352" width="11.42578125" style="658"/>
    <col min="4353" max="4353" width="18" style="658" customWidth="1"/>
    <col min="4354" max="4354" width="13.7109375" style="658" bestFit="1" customWidth="1"/>
    <col min="4355" max="4355" width="18.42578125" style="658" bestFit="1" customWidth="1"/>
    <col min="4356" max="4365" width="13.7109375" style="658" bestFit="1" customWidth="1"/>
    <col min="4366" max="4366" width="15.28515625" style="658" bestFit="1" customWidth="1"/>
    <col min="4367" max="4367" width="11.42578125" style="658"/>
    <col min="4368" max="4368" width="13.7109375" style="658" bestFit="1" customWidth="1"/>
    <col min="4369" max="4608" width="11.42578125" style="658"/>
    <col min="4609" max="4609" width="18" style="658" customWidth="1"/>
    <col min="4610" max="4610" width="13.7109375" style="658" bestFit="1" customWidth="1"/>
    <col min="4611" max="4611" width="18.42578125" style="658" bestFit="1" customWidth="1"/>
    <col min="4612" max="4621" width="13.7109375" style="658" bestFit="1" customWidth="1"/>
    <col min="4622" max="4622" width="15.28515625" style="658" bestFit="1" customWidth="1"/>
    <col min="4623" max="4623" width="11.42578125" style="658"/>
    <col min="4624" max="4624" width="13.7109375" style="658" bestFit="1" customWidth="1"/>
    <col min="4625" max="4864" width="11.42578125" style="658"/>
    <col min="4865" max="4865" width="18" style="658" customWidth="1"/>
    <col min="4866" max="4866" width="13.7109375" style="658" bestFit="1" customWidth="1"/>
    <col min="4867" max="4867" width="18.42578125" style="658" bestFit="1" customWidth="1"/>
    <col min="4868" max="4877" width="13.7109375" style="658" bestFit="1" customWidth="1"/>
    <col min="4878" max="4878" width="15.28515625" style="658" bestFit="1" customWidth="1"/>
    <col min="4879" max="4879" width="11.42578125" style="658"/>
    <col min="4880" max="4880" width="13.7109375" style="658" bestFit="1" customWidth="1"/>
    <col min="4881" max="5120" width="11.42578125" style="658"/>
    <col min="5121" max="5121" width="18" style="658" customWidth="1"/>
    <col min="5122" max="5122" width="13.7109375" style="658" bestFit="1" customWidth="1"/>
    <col min="5123" max="5123" width="18.42578125" style="658" bestFit="1" customWidth="1"/>
    <col min="5124" max="5133" width="13.7109375" style="658" bestFit="1" customWidth="1"/>
    <col min="5134" max="5134" width="15.28515625" style="658" bestFit="1" customWidth="1"/>
    <col min="5135" max="5135" width="11.42578125" style="658"/>
    <col min="5136" max="5136" width="13.7109375" style="658" bestFit="1" customWidth="1"/>
    <col min="5137" max="5376" width="11.42578125" style="658"/>
    <col min="5377" max="5377" width="18" style="658" customWidth="1"/>
    <col min="5378" max="5378" width="13.7109375" style="658" bestFit="1" customWidth="1"/>
    <col min="5379" max="5379" width="18.42578125" style="658" bestFit="1" customWidth="1"/>
    <col min="5380" max="5389" width="13.7109375" style="658" bestFit="1" customWidth="1"/>
    <col min="5390" max="5390" width="15.28515625" style="658" bestFit="1" customWidth="1"/>
    <col min="5391" max="5391" width="11.42578125" style="658"/>
    <col min="5392" max="5392" width="13.7109375" style="658" bestFit="1" customWidth="1"/>
    <col min="5393" max="5632" width="11.42578125" style="658"/>
    <col min="5633" max="5633" width="18" style="658" customWidth="1"/>
    <col min="5634" max="5634" width="13.7109375" style="658" bestFit="1" customWidth="1"/>
    <col min="5635" max="5635" width="18.42578125" style="658" bestFit="1" customWidth="1"/>
    <col min="5636" max="5645" width="13.7109375" style="658" bestFit="1" customWidth="1"/>
    <col min="5646" max="5646" width="15.28515625" style="658" bestFit="1" customWidth="1"/>
    <col min="5647" max="5647" width="11.42578125" style="658"/>
    <col min="5648" max="5648" width="13.7109375" style="658" bestFit="1" customWidth="1"/>
    <col min="5649" max="5888" width="11.42578125" style="658"/>
    <col min="5889" max="5889" width="18" style="658" customWidth="1"/>
    <col min="5890" max="5890" width="13.7109375" style="658" bestFit="1" customWidth="1"/>
    <col min="5891" max="5891" width="18.42578125" style="658" bestFit="1" customWidth="1"/>
    <col min="5892" max="5901" width="13.7109375" style="658" bestFit="1" customWidth="1"/>
    <col min="5902" max="5902" width="15.28515625" style="658" bestFit="1" customWidth="1"/>
    <col min="5903" max="5903" width="11.42578125" style="658"/>
    <col min="5904" max="5904" width="13.7109375" style="658" bestFit="1" customWidth="1"/>
    <col min="5905" max="6144" width="11.42578125" style="658"/>
    <col min="6145" max="6145" width="18" style="658" customWidth="1"/>
    <col min="6146" max="6146" width="13.7109375" style="658" bestFit="1" customWidth="1"/>
    <col min="6147" max="6147" width="18.42578125" style="658" bestFit="1" customWidth="1"/>
    <col min="6148" max="6157" width="13.7109375" style="658" bestFit="1" customWidth="1"/>
    <col min="6158" max="6158" width="15.28515625" style="658" bestFit="1" customWidth="1"/>
    <col min="6159" max="6159" width="11.42578125" style="658"/>
    <col min="6160" max="6160" width="13.7109375" style="658" bestFit="1" customWidth="1"/>
    <col min="6161" max="6400" width="11.42578125" style="658"/>
    <col min="6401" max="6401" width="18" style="658" customWidth="1"/>
    <col min="6402" max="6402" width="13.7109375" style="658" bestFit="1" customWidth="1"/>
    <col min="6403" max="6403" width="18.42578125" style="658" bestFit="1" customWidth="1"/>
    <col min="6404" max="6413" width="13.7109375" style="658" bestFit="1" customWidth="1"/>
    <col min="6414" max="6414" width="15.28515625" style="658" bestFit="1" customWidth="1"/>
    <col min="6415" max="6415" width="11.42578125" style="658"/>
    <col min="6416" max="6416" width="13.7109375" style="658" bestFit="1" customWidth="1"/>
    <col min="6417" max="6656" width="11.42578125" style="658"/>
    <col min="6657" max="6657" width="18" style="658" customWidth="1"/>
    <col min="6658" max="6658" width="13.7109375" style="658" bestFit="1" customWidth="1"/>
    <col min="6659" max="6659" width="18.42578125" style="658" bestFit="1" customWidth="1"/>
    <col min="6660" max="6669" width="13.7109375" style="658" bestFit="1" customWidth="1"/>
    <col min="6670" max="6670" width="15.28515625" style="658" bestFit="1" customWidth="1"/>
    <col min="6671" max="6671" width="11.42578125" style="658"/>
    <col min="6672" max="6672" width="13.7109375" style="658" bestFit="1" customWidth="1"/>
    <col min="6673" max="6912" width="11.42578125" style="658"/>
    <col min="6913" max="6913" width="18" style="658" customWidth="1"/>
    <col min="6914" max="6914" width="13.7109375" style="658" bestFit="1" customWidth="1"/>
    <col min="6915" max="6915" width="18.42578125" style="658" bestFit="1" customWidth="1"/>
    <col min="6916" max="6925" width="13.7109375" style="658" bestFit="1" customWidth="1"/>
    <col min="6926" max="6926" width="15.28515625" style="658" bestFit="1" customWidth="1"/>
    <col min="6927" max="6927" width="11.42578125" style="658"/>
    <col min="6928" max="6928" width="13.7109375" style="658" bestFit="1" customWidth="1"/>
    <col min="6929" max="7168" width="11.42578125" style="658"/>
    <col min="7169" max="7169" width="18" style="658" customWidth="1"/>
    <col min="7170" max="7170" width="13.7109375" style="658" bestFit="1" customWidth="1"/>
    <col min="7171" max="7171" width="18.42578125" style="658" bestFit="1" customWidth="1"/>
    <col min="7172" max="7181" width="13.7109375" style="658" bestFit="1" customWidth="1"/>
    <col min="7182" max="7182" width="15.28515625" style="658" bestFit="1" customWidth="1"/>
    <col min="7183" max="7183" width="11.42578125" style="658"/>
    <col min="7184" max="7184" width="13.7109375" style="658" bestFit="1" customWidth="1"/>
    <col min="7185" max="7424" width="11.42578125" style="658"/>
    <col min="7425" max="7425" width="18" style="658" customWidth="1"/>
    <col min="7426" max="7426" width="13.7109375" style="658" bestFit="1" customWidth="1"/>
    <col min="7427" max="7427" width="18.42578125" style="658" bestFit="1" customWidth="1"/>
    <col min="7428" max="7437" width="13.7109375" style="658" bestFit="1" customWidth="1"/>
    <col min="7438" max="7438" width="15.28515625" style="658" bestFit="1" customWidth="1"/>
    <col min="7439" max="7439" width="11.42578125" style="658"/>
    <col min="7440" max="7440" width="13.7109375" style="658" bestFit="1" customWidth="1"/>
    <col min="7441" max="7680" width="11.42578125" style="658"/>
    <col min="7681" max="7681" width="18" style="658" customWidth="1"/>
    <col min="7682" max="7682" width="13.7109375" style="658" bestFit="1" customWidth="1"/>
    <col min="7683" max="7683" width="18.42578125" style="658" bestFit="1" customWidth="1"/>
    <col min="7684" max="7693" width="13.7109375" style="658" bestFit="1" customWidth="1"/>
    <col min="7694" max="7694" width="15.28515625" style="658" bestFit="1" customWidth="1"/>
    <col min="7695" max="7695" width="11.42578125" style="658"/>
    <col min="7696" max="7696" width="13.7109375" style="658" bestFit="1" customWidth="1"/>
    <col min="7697" max="7936" width="11.42578125" style="658"/>
    <col min="7937" max="7937" width="18" style="658" customWidth="1"/>
    <col min="7938" max="7938" width="13.7109375" style="658" bestFit="1" customWidth="1"/>
    <col min="7939" max="7939" width="18.42578125" style="658" bestFit="1" customWidth="1"/>
    <col min="7940" max="7949" width="13.7109375" style="658" bestFit="1" customWidth="1"/>
    <col min="7950" max="7950" width="15.28515625" style="658" bestFit="1" customWidth="1"/>
    <col min="7951" max="7951" width="11.42578125" style="658"/>
    <col min="7952" max="7952" width="13.7109375" style="658" bestFit="1" customWidth="1"/>
    <col min="7953" max="8192" width="11.42578125" style="658"/>
    <col min="8193" max="8193" width="18" style="658" customWidth="1"/>
    <col min="8194" max="8194" width="13.7109375" style="658" bestFit="1" customWidth="1"/>
    <col min="8195" max="8195" width="18.42578125" style="658" bestFit="1" customWidth="1"/>
    <col min="8196" max="8205" width="13.7109375" style="658" bestFit="1" customWidth="1"/>
    <col min="8206" max="8206" width="15.28515625" style="658" bestFit="1" customWidth="1"/>
    <col min="8207" max="8207" width="11.42578125" style="658"/>
    <col min="8208" max="8208" width="13.7109375" style="658" bestFit="1" customWidth="1"/>
    <col min="8209" max="8448" width="11.42578125" style="658"/>
    <col min="8449" max="8449" width="18" style="658" customWidth="1"/>
    <col min="8450" max="8450" width="13.7109375" style="658" bestFit="1" customWidth="1"/>
    <col min="8451" max="8451" width="18.42578125" style="658" bestFit="1" customWidth="1"/>
    <col min="8452" max="8461" width="13.7109375" style="658" bestFit="1" customWidth="1"/>
    <col min="8462" max="8462" width="15.28515625" style="658" bestFit="1" customWidth="1"/>
    <col min="8463" max="8463" width="11.42578125" style="658"/>
    <col min="8464" max="8464" width="13.7109375" style="658" bestFit="1" customWidth="1"/>
    <col min="8465" max="8704" width="11.42578125" style="658"/>
    <col min="8705" max="8705" width="18" style="658" customWidth="1"/>
    <col min="8706" max="8706" width="13.7109375" style="658" bestFit="1" customWidth="1"/>
    <col min="8707" max="8707" width="18.42578125" style="658" bestFit="1" customWidth="1"/>
    <col min="8708" max="8717" width="13.7109375" style="658" bestFit="1" customWidth="1"/>
    <col min="8718" max="8718" width="15.28515625" style="658" bestFit="1" customWidth="1"/>
    <col min="8719" max="8719" width="11.42578125" style="658"/>
    <col min="8720" max="8720" width="13.7109375" style="658" bestFit="1" customWidth="1"/>
    <col min="8721" max="8960" width="11.42578125" style="658"/>
    <col min="8961" max="8961" width="18" style="658" customWidth="1"/>
    <col min="8962" max="8962" width="13.7109375" style="658" bestFit="1" customWidth="1"/>
    <col min="8963" max="8963" width="18.42578125" style="658" bestFit="1" customWidth="1"/>
    <col min="8964" max="8973" width="13.7109375" style="658" bestFit="1" customWidth="1"/>
    <col min="8974" max="8974" width="15.28515625" style="658" bestFit="1" customWidth="1"/>
    <col min="8975" max="8975" width="11.42578125" style="658"/>
    <col min="8976" max="8976" width="13.7109375" style="658" bestFit="1" customWidth="1"/>
    <col min="8977" max="9216" width="11.42578125" style="658"/>
    <col min="9217" max="9217" width="18" style="658" customWidth="1"/>
    <col min="9218" max="9218" width="13.7109375" style="658" bestFit="1" customWidth="1"/>
    <col min="9219" max="9219" width="18.42578125" style="658" bestFit="1" customWidth="1"/>
    <col min="9220" max="9229" width="13.7109375" style="658" bestFit="1" customWidth="1"/>
    <col min="9230" max="9230" width="15.28515625" style="658" bestFit="1" customWidth="1"/>
    <col min="9231" max="9231" width="11.42578125" style="658"/>
    <col min="9232" max="9232" width="13.7109375" style="658" bestFit="1" customWidth="1"/>
    <col min="9233" max="9472" width="11.42578125" style="658"/>
    <col min="9473" max="9473" width="18" style="658" customWidth="1"/>
    <col min="9474" max="9474" width="13.7109375" style="658" bestFit="1" customWidth="1"/>
    <col min="9475" max="9475" width="18.42578125" style="658" bestFit="1" customWidth="1"/>
    <col min="9476" max="9485" width="13.7109375" style="658" bestFit="1" customWidth="1"/>
    <col min="9486" max="9486" width="15.28515625" style="658" bestFit="1" customWidth="1"/>
    <col min="9487" max="9487" width="11.42578125" style="658"/>
    <col min="9488" max="9488" width="13.7109375" style="658" bestFit="1" customWidth="1"/>
    <col min="9489" max="9728" width="11.42578125" style="658"/>
    <col min="9729" max="9729" width="18" style="658" customWidth="1"/>
    <col min="9730" max="9730" width="13.7109375" style="658" bestFit="1" customWidth="1"/>
    <col min="9731" max="9731" width="18.42578125" style="658" bestFit="1" customWidth="1"/>
    <col min="9732" max="9741" width="13.7109375" style="658" bestFit="1" customWidth="1"/>
    <col min="9742" max="9742" width="15.28515625" style="658" bestFit="1" customWidth="1"/>
    <col min="9743" max="9743" width="11.42578125" style="658"/>
    <col min="9744" max="9744" width="13.7109375" style="658" bestFit="1" customWidth="1"/>
    <col min="9745" max="9984" width="11.42578125" style="658"/>
    <col min="9985" max="9985" width="18" style="658" customWidth="1"/>
    <col min="9986" max="9986" width="13.7109375" style="658" bestFit="1" customWidth="1"/>
    <col min="9987" max="9987" width="18.42578125" style="658" bestFit="1" customWidth="1"/>
    <col min="9988" max="9997" width="13.7109375" style="658" bestFit="1" customWidth="1"/>
    <col min="9998" max="9998" width="15.28515625" style="658" bestFit="1" customWidth="1"/>
    <col min="9999" max="9999" width="11.42578125" style="658"/>
    <col min="10000" max="10000" width="13.7109375" style="658" bestFit="1" customWidth="1"/>
    <col min="10001" max="10240" width="11.42578125" style="658"/>
    <col min="10241" max="10241" width="18" style="658" customWidth="1"/>
    <col min="10242" max="10242" width="13.7109375" style="658" bestFit="1" customWidth="1"/>
    <col min="10243" max="10243" width="18.42578125" style="658" bestFit="1" customWidth="1"/>
    <col min="10244" max="10253" width="13.7109375" style="658" bestFit="1" customWidth="1"/>
    <col min="10254" max="10254" width="15.28515625" style="658" bestFit="1" customWidth="1"/>
    <col min="10255" max="10255" width="11.42578125" style="658"/>
    <col min="10256" max="10256" width="13.7109375" style="658" bestFit="1" customWidth="1"/>
    <col min="10257" max="10496" width="11.42578125" style="658"/>
    <col min="10497" max="10497" width="18" style="658" customWidth="1"/>
    <col min="10498" max="10498" width="13.7109375" style="658" bestFit="1" customWidth="1"/>
    <col min="10499" max="10499" width="18.42578125" style="658" bestFit="1" customWidth="1"/>
    <col min="10500" max="10509" width="13.7109375" style="658" bestFit="1" customWidth="1"/>
    <col min="10510" max="10510" width="15.28515625" style="658" bestFit="1" customWidth="1"/>
    <col min="10511" max="10511" width="11.42578125" style="658"/>
    <col min="10512" max="10512" width="13.7109375" style="658" bestFit="1" customWidth="1"/>
    <col min="10513" max="10752" width="11.42578125" style="658"/>
    <col min="10753" max="10753" width="18" style="658" customWidth="1"/>
    <col min="10754" max="10754" width="13.7109375" style="658" bestFit="1" customWidth="1"/>
    <col min="10755" max="10755" width="18.42578125" style="658" bestFit="1" customWidth="1"/>
    <col min="10756" max="10765" width="13.7109375" style="658" bestFit="1" customWidth="1"/>
    <col min="10766" max="10766" width="15.28515625" style="658" bestFit="1" customWidth="1"/>
    <col min="10767" max="10767" width="11.42578125" style="658"/>
    <col min="10768" max="10768" width="13.7109375" style="658" bestFit="1" customWidth="1"/>
    <col min="10769" max="11008" width="11.42578125" style="658"/>
    <col min="11009" max="11009" width="18" style="658" customWidth="1"/>
    <col min="11010" max="11010" width="13.7109375" style="658" bestFit="1" customWidth="1"/>
    <col min="11011" max="11011" width="18.42578125" style="658" bestFit="1" customWidth="1"/>
    <col min="11012" max="11021" width="13.7109375" style="658" bestFit="1" customWidth="1"/>
    <col min="11022" max="11022" width="15.28515625" style="658" bestFit="1" customWidth="1"/>
    <col min="11023" max="11023" width="11.42578125" style="658"/>
    <col min="11024" max="11024" width="13.7109375" style="658" bestFit="1" customWidth="1"/>
    <col min="11025" max="11264" width="11.42578125" style="658"/>
    <col min="11265" max="11265" width="18" style="658" customWidth="1"/>
    <col min="11266" max="11266" width="13.7109375" style="658" bestFit="1" customWidth="1"/>
    <col min="11267" max="11267" width="18.42578125" style="658" bestFit="1" customWidth="1"/>
    <col min="11268" max="11277" width="13.7109375" style="658" bestFit="1" customWidth="1"/>
    <col min="11278" max="11278" width="15.28515625" style="658" bestFit="1" customWidth="1"/>
    <col min="11279" max="11279" width="11.42578125" style="658"/>
    <col min="11280" max="11280" width="13.7109375" style="658" bestFit="1" customWidth="1"/>
    <col min="11281" max="11520" width="11.42578125" style="658"/>
    <col min="11521" max="11521" width="18" style="658" customWidth="1"/>
    <col min="11522" max="11522" width="13.7109375" style="658" bestFit="1" customWidth="1"/>
    <col min="11523" max="11523" width="18.42578125" style="658" bestFit="1" customWidth="1"/>
    <col min="11524" max="11533" width="13.7109375" style="658" bestFit="1" customWidth="1"/>
    <col min="11534" max="11534" width="15.28515625" style="658" bestFit="1" customWidth="1"/>
    <col min="11535" max="11535" width="11.42578125" style="658"/>
    <col min="11536" max="11536" width="13.7109375" style="658" bestFit="1" customWidth="1"/>
    <col min="11537" max="11776" width="11.42578125" style="658"/>
    <col min="11777" max="11777" width="18" style="658" customWidth="1"/>
    <col min="11778" max="11778" width="13.7109375" style="658" bestFit="1" customWidth="1"/>
    <col min="11779" max="11779" width="18.42578125" style="658" bestFit="1" customWidth="1"/>
    <col min="11780" max="11789" width="13.7109375" style="658" bestFit="1" customWidth="1"/>
    <col min="11790" max="11790" width="15.28515625" style="658" bestFit="1" customWidth="1"/>
    <col min="11791" max="11791" width="11.42578125" style="658"/>
    <col min="11792" max="11792" width="13.7109375" style="658" bestFit="1" customWidth="1"/>
    <col min="11793" max="12032" width="11.42578125" style="658"/>
    <col min="12033" max="12033" width="18" style="658" customWidth="1"/>
    <col min="12034" max="12034" width="13.7109375" style="658" bestFit="1" customWidth="1"/>
    <col min="12035" max="12035" width="18.42578125" style="658" bestFit="1" customWidth="1"/>
    <col min="12036" max="12045" width="13.7109375" style="658" bestFit="1" customWidth="1"/>
    <col min="12046" max="12046" width="15.28515625" style="658" bestFit="1" customWidth="1"/>
    <col min="12047" max="12047" width="11.42578125" style="658"/>
    <col min="12048" max="12048" width="13.7109375" style="658" bestFit="1" customWidth="1"/>
    <col min="12049" max="12288" width="11.42578125" style="658"/>
    <col min="12289" max="12289" width="18" style="658" customWidth="1"/>
    <col min="12290" max="12290" width="13.7109375" style="658" bestFit="1" customWidth="1"/>
    <col min="12291" max="12291" width="18.42578125" style="658" bestFit="1" customWidth="1"/>
    <col min="12292" max="12301" width="13.7109375" style="658" bestFit="1" customWidth="1"/>
    <col min="12302" max="12302" width="15.28515625" style="658" bestFit="1" customWidth="1"/>
    <col min="12303" max="12303" width="11.42578125" style="658"/>
    <col min="12304" max="12304" width="13.7109375" style="658" bestFit="1" customWidth="1"/>
    <col min="12305" max="12544" width="11.42578125" style="658"/>
    <col min="12545" max="12545" width="18" style="658" customWidth="1"/>
    <col min="12546" max="12546" width="13.7109375" style="658" bestFit="1" customWidth="1"/>
    <col min="12547" max="12547" width="18.42578125" style="658" bestFit="1" customWidth="1"/>
    <col min="12548" max="12557" width="13.7109375" style="658" bestFit="1" customWidth="1"/>
    <col min="12558" max="12558" width="15.28515625" style="658" bestFit="1" customWidth="1"/>
    <col min="12559" max="12559" width="11.42578125" style="658"/>
    <col min="12560" max="12560" width="13.7109375" style="658" bestFit="1" customWidth="1"/>
    <col min="12561" max="12800" width="11.42578125" style="658"/>
    <col min="12801" max="12801" width="18" style="658" customWidth="1"/>
    <col min="12802" max="12802" width="13.7109375" style="658" bestFit="1" customWidth="1"/>
    <col min="12803" max="12803" width="18.42578125" style="658" bestFit="1" customWidth="1"/>
    <col min="12804" max="12813" width="13.7109375" style="658" bestFit="1" customWidth="1"/>
    <col min="12814" max="12814" width="15.28515625" style="658" bestFit="1" customWidth="1"/>
    <col min="12815" max="12815" width="11.42578125" style="658"/>
    <col min="12816" max="12816" width="13.7109375" style="658" bestFit="1" customWidth="1"/>
    <col min="12817" max="13056" width="11.42578125" style="658"/>
    <col min="13057" max="13057" width="18" style="658" customWidth="1"/>
    <col min="13058" max="13058" width="13.7109375" style="658" bestFit="1" customWidth="1"/>
    <col min="13059" max="13059" width="18.42578125" style="658" bestFit="1" customWidth="1"/>
    <col min="13060" max="13069" width="13.7109375" style="658" bestFit="1" customWidth="1"/>
    <col min="13070" max="13070" width="15.28515625" style="658" bestFit="1" customWidth="1"/>
    <col min="13071" max="13071" width="11.42578125" style="658"/>
    <col min="13072" max="13072" width="13.7109375" style="658" bestFit="1" customWidth="1"/>
    <col min="13073" max="13312" width="11.42578125" style="658"/>
    <col min="13313" max="13313" width="18" style="658" customWidth="1"/>
    <col min="13314" max="13314" width="13.7109375" style="658" bestFit="1" customWidth="1"/>
    <col min="13315" max="13315" width="18.42578125" style="658" bestFit="1" customWidth="1"/>
    <col min="13316" max="13325" width="13.7109375" style="658" bestFit="1" customWidth="1"/>
    <col min="13326" max="13326" width="15.28515625" style="658" bestFit="1" customWidth="1"/>
    <col min="13327" max="13327" width="11.42578125" style="658"/>
    <col min="13328" max="13328" width="13.7109375" style="658" bestFit="1" customWidth="1"/>
    <col min="13329" max="13568" width="11.42578125" style="658"/>
    <col min="13569" max="13569" width="18" style="658" customWidth="1"/>
    <col min="13570" max="13570" width="13.7109375" style="658" bestFit="1" customWidth="1"/>
    <col min="13571" max="13571" width="18.42578125" style="658" bestFit="1" customWidth="1"/>
    <col min="13572" max="13581" width="13.7109375" style="658" bestFit="1" customWidth="1"/>
    <col min="13582" max="13582" width="15.28515625" style="658" bestFit="1" customWidth="1"/>
    <col min="13583" max="13583" width="11.42578125" style="658"/>
    <col min="13584" max="13584" width="13.7109375" style="658" bestFit="1" customWidth="1"/>
    <col min="13585" max="13824" width="11.42578125" style="658"/>
    <col min="13825" max="13825" width="18" style="658" customWidth="1"/>
    <col min="13826" max="13826" width="13.7109375" style="658" bestFit="1" customWidth="1"/>
    <col min="13827" max="13827" width="18.42578125" style="658" bestFit="1" customWidth="1"/>
    <col min="13828" max="13837" width="13.7109375" style="658" bestFit="1" customWidth="1"/>
    <col min="13838" max="13838" width="15.28515625" style="658" bestFit="1" customWidth="1"/>
    <col min="13839" max="13839" width="11.42578125" style="658"/>
    <col min="13840" max="13840" width="13.7109375" style="658" bestFit="1" customWidth="1"/>
    <col min="13841" max="14080" width="11.42578125" style="658"/>
    <col min="14081" max="14081" width="18" style="658" customWidth="1"/>
    <col min="14082" max="14082" width="13.7109375" style="658" bestFit="1" customWidth="1"/>
    <col min="14083" max="14083" width="18.42578125" style="658" bestFit="1" customWidth="1"/>
    <col min="14084" max="14093" width="13.7109375" style="658" bestFit="1" customWidth="1"/>
    <col min="14094" max="14094" width="15.28515625" style="658" bestFit="1" customWidth="1"/>
    <col min="14095" max="14095" width="11.42578125" style="658"/>
    <col min="14096" max="14096" width="13.7109375" style="658" bestFit="1" customWidth="1"/>
    <col min="14097" max="14336" width="11.42578125" style="658"/>
    <col min="14337" max="14337" width="18" style="658" customWidth="1"/>
    <col min="14338" max="14338" width="13.7109375" style="658" bestFit="1" customWidth="1"/>
    <col min="14339" max="14339" width="18.42578125" style="658" bestFit="1" customWidth="1"/>
    <col min="14340" max="14349" width="13.7109375" style="658" bestFit="1" customWidth="1"/>
    <col min="14350" max="14350" width="15.28515625" style="658" bestFit="1" customWidth="1"/>
    <col min="14351" max="14351" width="11.42578125" style="658"/>
    <col min="14352" max="14352" width="13.7109375" style="658" bestFit="1" customWidth="1"/>
    <col min="14353" max="14592" width="11.42578125" style="658"/>
    <col min="14593" max="14593" width="18" style="658" customWidth="1"/>
    <col min="14594" max="14594" width="13.7109375" style="658" bestFit="1" customWidth="1"/>
    <col min="14595" max="14595" width="18.42578125" style="658" bestFit="1" customWidth="1"/>
    <col min="14596" max="14605" width="13.7109375" style="658" bestFit="1" customWidth="1"/>
    <col min="14606" max="14606" width="15.28515625" style="658" bestFit="1" customWidth="1"/>
    <col min="14607" max="14607" width="11.42578125" style="658"/>
    <col min="14608" max="14608" width="13.7109375" style="658" bestFit="1" customWidth="1"/>
    <col min="14609" max="14848" width="11.42578125" style="658"/>
    <col min="14849" max="14849" width="18" style="658" customWidth="1"/>
    <col min="14850" max="14850" width="13.7109375" style="658" bestFit="1" customWidth="1"/>
    <col min="14851" max="14851" width="18.42578125" style="658" bestFit="1" customWidth="1"/>
    <col min="14852" max="14861" width="13.7109375" style="658" bestFit="1" customWidth="1"/>
    <col min="14862" max="14862" width="15.28515625" style="658" bestFit="1" customWidth="1"/>
    <col min="14863" max="14863" width="11.42578125" style="658"/>
    <col min="14864" max="14864" width="13.7109375" style="658" bestFit="1" customWidth="1"/>
    <col min="14865" max="15104" width="11.42578125" style="658"/>
    <col min="15105" max="15105" width="18" style="658" customWidth="1"/>
    <col min="15106" max="15106" width="13.7109375" style="658" bestFit="1" customWidth="1"/>
    <col min="15107" max="15107" width="18.42578125" style="658" bestFit="1" customWidth="1"/>
    <col min="15108" max="15117" width="13.7109375" style="658" bestFit="1" customWidth="1"/>
    <col min="15118" max="15118" width="15.28515625" style="658" bestFit="1" customWidth="1"/>
    <col min="15119" max="15119" width="11.42578125" style="658"/>
    <col min="15120" max="15120" width="13.7109375" style="658" bestFit="1" customWidth="1"/>
    <col min="15121" max="15360" width="11.42578125" style="658"/>
    <col min="15361" max="15361" width="18" style="658" customWidth="1"/>
    <col min="15362" max="15362" width="13.7109375" style="658" bestFit="1" customWidth="1"/>
    <col min="15363" max="15363" width="18.42578125" style="658" bestFit="1" customWidth="1"/>
    <col min="15364" max="15373" width="13.7109375" style="658" bestFit="1" customWidth="1"/>
    <col min="15374" max="15374" width="15.28515625" style="658" bestFit="1" customWidth="1"/>
    <col min="15375" max="15375" width="11.42578125" style="658"/>
    <col min="15376" max="15376" width="13.7109375" style="658" bestFit="1" customWidth="1"/>
    <col min="15377" max="15616" width="11.42578125" style="658"/>
    <col min="15617" max="15617" width="18" style="658" customWidth="1"/>
    <col min="15618" max="15618" width="13.7109375" style="658" bestFit="1" customWidth="1"/>
    <col min="15619" max="15619" width="18.42578125" style="658" bestFit="1" customWidth="1"/>
    <col min="15620" max="15629" width="13.7109375" style="658" bestFit="1" customWidth="1"/>
    <col min="15630" max="15630" width="15.28515625" style="658" bestFit="1" customWidth="1"/>
    <col min="15631" max="15631" width="11.42578125" style="658"/>
    <col min="15632" max="15632" width="13.7109375" style="658" bestFit="1" customWidth="1"/>
    <col min="15633" max="15872" width="11.42578125" style="658"/>
    <col min="15873" max="15873" width="18" style="658" customWidth="1"/>
    <col min="15874" max="15874" width="13.7109375" style="658" bestFit="1" customWidth="1"/>
    <col min="15875" max="15875" width="18.42578125" style="658" bestFit="1" customWidth="1"/>
    <col min="15876" max="15885" width="13.7109375" style="658" bestFit="1" customWidth="1"/>
    <col min="15886" max="15886" width="15.28515625" style="658" bestFit="1" customWidth="1"/>
    <col min="15887" max="15887" width="11.42578125" style="658"/>
    <col min="15888" max="15888" width="13.7109375" style="658" bestFit="1" customWidth="1"/>
    <col min="15889" max="16128" width="11.42578125" style="658"/>
    <col min="16129" max="16129" width="18" style="658" customWidth="1"/>
    <col min="16130" max="16130" width="13.7109375" style="658" bestFit="1" customWidth="1"/>
    <col min="16131" max="16131" width="18.42578125" style="658" bestFit="1" customWidth="1"/>
    <col min="16132" max="16141" width="13.7109375" style="658" bestFit="1" customWidth="1"/>
    <col min="16142" max="16142" width="15.28515625" style="658" bestFit="1" customWidth="1"/>
    <col min="16143" max="16143" width="11.42578125" style="658"/>
    <col min="16144" max="16144" width="13.7109375" style="658" bestFit="1" customWidth="1"/>
    <col min="16145" max="16384" width="11.42578125" style="658"/>
  </cols>
  <sheetData>
    <row r="1" spans="1:14" ht="15.75" x14ac:dyDescent="0.25">
      <c r="A1" s="1019" t="s">
        <v>279</v>
      </c>
      <c r="B1" s="1019"/>
      <c r="C1" s="1019"/>
      <c r="D1" s="1019"/>
      <c r="E1" s="1019"/>
      <c r="F1" s="1019"/>
      <c r="G1" s="1019"/>
      <c r="H1" s="1019"/>
      <c r="I1" s="1019"/>
      <c r="J1" s="1019"/>
      <c r="K1" s="1019"/>
      <c r="L1" s="1019"/>
      <c r="M1" s="1019"/>
    </row>
    <row r="2" spans="1:14" x14ac:dyDescent="0.2">
      <c r="A2" s="1020" t="s">
        <v>280</v>
      </c>
      <c r="B2" s="1020"/>
      <c r="C2" s="1020"/>
      <c r="D2" s="1020"/>
      <c r="E2" s="1020"/>
      <c r="F2" s="1020"/>
      <c r="G2" s="1020"/>
      <c r="H2" s="1020"/>
      <c r="I2" s="1020"/>
      <c r="J2" s="1020"/>
      <c r="K2" s="1020"/>
      <c r="L2" s="1020"/>
      <c r="M2" s="1020"/>
      <c r="N2" s="758"/>
    </row>
    <row r="3" spans="1:14" x14ac:dyDescent="0.2">
      <c r="A3" s="1020" t="s">
        <v>281</v>
      </c>
      <c r="B3" s="1020"/>
      <c r="C3" s="1020"/>
      <c r="D3" s="1020"/>
      <c r="E3" s="1020"/>
      <c r="F3" s="1020"/>
      <c r="G3" s="1020"/>
      <c r="H3" s="1020"/>
      <c r="I3" s="1020"/>
      <c r="J3" s="1020"/>
      <c r="K3" s="1020"/>
      <c r="L3" s="1020"/>
      <c r="M3" s="1020"/>
      <c r="N3" s="758"/>
    </row>
    <row r="4" spans="1:14" x14ac:dyDescent="0.2">
      <c r="A4" s="1083" t="s">
        <v>439</v>
      </c>
      <c r="B4" s="1083"/>
      <c r="C4" s="1083"/>
      <c r="D4" s="1083"/>
      <c r="E4" s="1083"/>
      <c r="F4" s="1083"/>
      <c r="G4" s="1083"/>
      <c r="H4" s="1083"/>
      <c r="I4" s="1083"/>
      <c r="J4" s="1083"/>
      <c r="K4" s="1083"/>
      <c r="L4" s="1083"/>
      <c r="M4" s="1083"/>
    </row>
    <row r="5" spans="1:14" x14ac:dyDescent="0.2">
      <c r="A5" s="1082" t="s">
        <v>440</v>
      </c>
      <c r="B5" s="1082"/>
      <c r="C5" s="1082"/>
      <c r="D5" s="1082"/>
      <c r="E5" s="1082"/>
      <c r="F5" s="1082"/>
      <c r="G5" s="1082"/>
      <c r="H5" s="1082"/>
      <c r="I5" s="1082"/>
      <c r="J5" s="1082"/>
      <c r="K5" s="1082"/>
      <c r="L5" s="1082"/>
      <c r="M5" s="1082"/>
    </row>
    <row r="6" spans="1:14" x14ac:dyDescent="0.2">
      <c r="A6" s="759"/>
      <c r="B6" s="760"/>
      <c r="C6" s="760"/>
      <c r="D6" s="760"/>
      <c r="E6" s="760"/>
      <c r="F6" s="760"/>
      <c r="G6" s="760"/>
      <c r="H6" s="760"/>
      <c r="I6" s="760"/>
      <c r="J6" s="760"/>
      <c r="K6" s="760"/>
      <c r="L6" s="760"/>
      <c r="M6" s="760"/>
    </row>
    <row r="7" spans="1:14" x14ac:dyDescent="0.2">
      <c r="A7" s="759">
        <f>SUM(B7:M7)</f>
        <v>99.999999999999986</v>
      </c>
      <c r="B7" s="760">
        <f>'[6]X22.55 DOF'!B7</f>
        <v>7.2537317874875118</v>
      </c>
      <c r="C7" s="760">
        <f>'[6]X22.55 DOF'!C7</f>
        <v>9.9517127433424371</v>
      </c>
      <c r="D7" s="760">
        <f>'[6]X22.55 DOF'!D7</f>
        <v>7.90593914269677</v>
      </c>
      <c r="E7" s="760">
        <f>'[6]X22.55 DOF'!E7</f>
        <v>10.383001331499043</v>
      </c>
      <c r="F7" s="760">
        <f>'[6]X22.55 DOF'!F7</f>
        <v>8.5326043256523842</v>
      </c>
      <c r="G7" s="760">
        <f>'[6]X22.55 DOF'!G7</f>
        <v>8.8750962558932258</v>
      </c>
      <c r="H7" s="760">
        <f>'[6]X22.55 DOF'!H7</f>
        <v>8.332785508207543</v>
      </c>
      <c r="I7" s="760">
        <f>'[6]X22.55 DOF'!I7</f>
        <v>8.4122719618413715</v>
      </c>
      <c r="J7" s="760">
        <f>'[6]X22.55 DOF'!J7</f>
        <v>7.8574853315291122</v>
      </c>
      <c r="K7" s="760">
        <f>'[6]X22.55 DOF'!K7</f>
        <v>7.0866184219510933</v>
      </c>
      <c r="L7" s="760">
        <f>'[6]X22.55 DOF'!L7</f>
        <v>7.7596408585861099</v>
      </c>
      <c r="M7" s="760">
        <f>'[6]X22.55 DOF'!M7</f>
        <v>7.649112331313396</v>
      </c>
    </row>
    <row r="8" spans="1:14" ht="13.5" thickBot="1" x14ac:dyDescent="0.25">
      <c r="A8" s="1080"/>
      <c r="B8" s="1080"/>
      <c r="C8" s="1080"/>
      <c r="D8" s="1080"/>
      <c r="E8" s="1080"/>
      <c r="F8" s="1080"/>
      <c r="G8" s="1080"/>
      <c r="H8" s="1080"/>
      <c r="I8" s="1080"/>
      <c r="J8" s="1080"/>
      <c r="K8" s="1080"/>
      <c r="L8" s="1080"/>
      <c r="M8" s="1080"/>
    </row>
    <row r="9" spans="1:14" ht="13.5" thickBot="1" x14ac:dyDescent="0.25">
      <c r="A9" s="761" t="s">
        <v>441</v>
      </c>
      <c r="B9" s="762" t="s">
        <v>1</v>
      </c>
      <c r="C9" s="762" t="s">
        <v>2</v>
      </c>
      <c r="D9" s="762" t="s">
        <v>3</v>
      </c>
      <c r="E9" s="762" t="s">
        <v>4</v>
      </c>
      <c r="F9" s="762" t="s">
        <v>5</v>
      </c>
      <c r="G9" s="762" t="s">
        <v>6</v>
      </c>
      <c r="H9" s="762" t="s">
        <v>7</v>
      </c>
      <c r="I9" s="762" t="s">
        <v>8</v>
      </c>
      <c r="J9" s="762" t="s">
        <v>9</v>
      </c>
      <c r="K9" s="762" t="s">
        <v>10</v>
      </c>
      <c r="L9" s="762" t="s">
        <v>11</v>
      </c>
      <c r="M9" s="762" t="s">
        <v>12</v>
      </c>
    </row>
    <row r="10" spans="1:14" ht="13.5" thickBot="1" x14ac:dyDescent="0.25">
      <c r="A10" s="763">
        <v>6401518188</v>
      </c>
      <c r="B10" s="764">
        <f>$A$10*B7/100</f>
        <v>464348959.68475062</v>
      </c>
      <c r="C10" s="764">
        <f t="shared" ref="C10:L10" si="0">$A$10*C7/100</f>
        <v>637060701.2825799</v>
      </c>
      <c r="D10" s="764">
        <f t="shared" si="0"/>
        <v>506100132.15194505</v>
      </c>
      <c r="E10" s="764">
        <f t="shared" si="0"/>
        <v>664669718.69619346</v>
      </c>
      <c r="F10" s="764">
        <f t="shared" si="0"/>
        <v>546216217.81671214</v>
      </c>
      <c r="G10" s="764">
        <f t="shared" si="0"/>
        <v>568140901.02351189</v>
      </c>
      <c r="H10" s="764">
        <f t="shared" si="0"/>
        <v>533424779.87493408</v>
      </c>
      <c r="I10" s="764">
        <f t="shared" si="0"/>
        <v>538513119.66129982</v>
      </c>
      <c r="J10" s="764">
        <f t="shared" si="0"/>
        <v>502998352.6172682</v>
      </c>
      <c r="K10" s="764">
        <f t="shared" si="0"/>
        <v>453651167.1953578</v>
      </c>
      <c r="L10" s="764">
        <f t="shared" si="0"/>
        <v>496734820.8858692</v>
      </c>
      <c r="M10" s="764">
        <f>$A$10*M7/100</f>
        <v>489659317.10957789</v>
      </c>
      <c r="N10" s="765">
        <f>SUM(B10)</f>
        <v>464348959.68475062</v>
      </c>
    </row>
    <row r="11" spans="1:14" ht="13.5" thickBot="1" x14ac:dyDescent="0.25">
      <c r="A11" s="763"/>
      <c r="B11" s="766"/>
      <c r="C11" s="767"/>
      <c r="D11" s="767"/>
      <c r="E11" s="767"/>
      <c r="F11" s="767"/>
      <c r="G11" s="767"/>
      <c r="H11" s="767"/>
      <c r="I11" s="767"/>
      <c r="J11" s="767"/>
      <c r="K11" s="767"/>
      <c r="L11" s="767"/>
      <c r="M11" s="768"/>
      <c r="N11" s="765"/>
    </row>
    <row r="12" spans="1:14" ht="13.5" thickBot="1" x14ac:dyDescent="0.25">
      <c r="A12" s="769">
        <v>0.22500000000000001</v>
      </c>
      <c r="B12" s="770">
        <v>0.22500000000000001</v>
      </c>
      <c r="C12" s="771">
        <v>0.22500000000000001</v>
      </c>
      <c r="D12" s="771">
        <v>0.22500000000000001</v>
      </c>
      <c r="E12" s="771">
        <v>0.22500000000000001</v>
      </c>
      <c r="F12" s="771">
        <v>0.22500000000000001</v>
      </c>
      <c r="G12" s="771">
        <v>0.22500000000000001</v>
      </c>
      <c r="H12" s="771">
        <v>0.22500000000000001</v>
      </c>
      <c r="I12" s="771">
        <v>0.22500000000000001</v>
      </c>
      <c r="J12" s="771">
        <v>0.22500000000000001</v>
      </c>
      <c r="K12" s="771">
        <v>0.22500000000000001</v>
      </c>
      <c r="L12" s="771">
        <v>0.22500000000000001</v>
      </c>
      <c r="M12" s="771">
        <v>0.22500000000000001</v>
      </c>
      <c r="N12" s="765"/>
    </row>
    <row r="13" spans="1:14" ht="13.5" thickBot="1" x14ac:dyDescent="0.25">
      <c r="A13" s="763">
        <f>A10*A12</f>
        <v>1440341592.3</v>
      </c>
      <c r="B13" s="772">
        <f>B10*B12</f>
        <v>104478515.92906889</v>
      </c>
      <c r="C13" s="772">
        <f>C10*C12</f>
        <v>143338657.78858048</v>
      </c>
      <c r="D13" s="772">
        <f>D10*D12</f>
        <v>113872529.73418763</v>
      </c>
      <c r="E13" s="772">
        <f t="shared" ref="E13:J13" si="1">E10*E12</f>
        <v>149550686.70664352</v>
      </c>
      <c r="F13" s="772">
        <f t="shared" si="1"/>
        <v>122898649.00876023</v>
      </c>
      <c r="G13" s="772">
        <f t="shared" si="1"/>
        <v>127831702.73029017</v>
      </c>
      <c r="H13" s="772">
        <f t="shared" si="1"/>
        <v>120020575.47186017</v>
      </c>
      <c r="I13" s="772">
        <f t="shared" si="1"/>
        <v>121165451.92379247</v>
      </c>
      <c r="J13" s="772">
        <f t="shared" si="1"/>
        <v>113174629.33888535</v>
      </c>
      <c r="K13" s="772">
        <f>K10*K12</f>
        <v>102071512.61895551</v>
      </c>
      <c r="L13" s="772">
        <f>L10*L12</f>
        <v>111765334.69932057</v>
      </c>
      <c r="M13" s="772">
        <f>M10*M12</f>
        <v>110173346.34965503</v>
      </c>
      <c r="N13" s="765">
        <f>SUM(B13)</f>
        <v>104478515.92906889</v>
      </c>
    </row>
    <row r="14" spans="1:14" x14ac:dyDescent="0.2">
      <c r="A14" s="773" t="s">
        <v>442</v>
      </c>
      <c r="B14" s="774">
        <v>79519983.975000009</v>
      </c>
      <c r="C14" s="774">
        <v>93406104.225000009</v>
      </c>
      <c r="D14" s="774">
        <v>77611356.900000006</v>
      </c>
      <c r="E14" s="774">
        <v>85589943.075000003</v>
      </c>
      <c r="F14" s="774">
        <v>72480824.325000003</v>
      </c>
      <c r="G14" s="774">
        <v>69571626.975000009</v>
      </c>
      <c r="H14" s="774">
        <v>86727042.900000006</v>
      </c>
      <c r="I14" s="774">
        <v>74664112.950000003</v>
      </c>
      <c r="J14" s="774">
        <v>83212012.575000003</v>
      </c>
      <c r="K14" s="774">
        <v>95450367.375</v>
      </c>
      <c r="L14" s="774">
        <v>74640343.950000003</v>
      </c>
      <c r="M14" s="774">
        <v>83654296.875</v>
      </c>
    </row>
    <row r="15" spans="1:14" ht="13.5" thickBot="1" x14ac:dyDescent="0.25">
      <c r="A15" s="773" t="s">
        <v>443</v>
      </c>
      <c r="B15" s="774">
        <f>B13-B14</f>
        <v>24958531.954068884</v>
      </c>
      <c r="C15" s="774">
        <f t="shared" ref="C15:M15" si="2">C13-C14</f>
        <v>49932553.563580468</v>
      </c>
      <c r="D15" s="774">
        <f t="shared" si="2"/>
        <v>36261172.834187627</v>
      </c>
      <c r="E15" s="774">
        <f t="shared" si="2"/>
        <v>63960743.631643519</v>
      </c>
      <c r="F15" s="774">
        <f t="shared" si="2"/>
        <v>50417824.683760226</v>
      </c>
      <c r="G15" s="774">
        <f t="shared" si="2"/>
        <v>58260075.755290166</v>
      </c>
      <c r="H15" s="774">
        <f t="shared" si="2"/>
        <v>33293532.571860164</v>
      </c>
      <c r="I15" s="774">
        <f t="shared" si="2"/>
        <v>46501338.973792464</v>
      </c>
      <c r="J15" s="774">
        <f t="shared" si="2"/>
        <v>29962616.763885349</v>
      </c>
      <c r="K15" s="774">
        <f t="shared" si="2"/>
        <v>6621145.2439555079</v>
      </c>
      <c r="L15" s="774">
        <f t="shared" si="2"/>
        <v>37124990.749320567</v>
      </c>
      <c r="M15" s="774">
        <f t="shared" si="2"/>
        <v>26519049.474655032</v>
      </c>
    </row>
    <row r="16" spans="1:14" ht="13.5" thickBot="1" x14ac:dyDescent="0.25">
      <c r="A16" s="775" t="s">
        <v>444</v>
      </c>
      <c r="B16" s="776">
        <f>B14+B15</f>
        <v>104478515.92906889</v>
      </c>
      <c r="C16" s="776">
        <f t="shared" ref="C16:M16" si="3">C14+C15</f>
        <v>143338657.78858048</v>
      </c>
      <c r="D16" s="776">
        <f t="shared" si="3"/>
        <v>113872529.73418763</v>
      </c>
      <c r="E16" s="776">
        <f t="shared" si="3"/>
        <v>149550686.70664352</v>
      </c>
      <c r="F16" s="776">
        <f t="shared" si="3"/>
        <v>122898649.00876023</v>
      </c>
      <c r="G16" s="776">
        <f t="shared" si="3"/>
        <v>127831702.73029017</v>
      </c>
      <c r="H16" s="776">
        <f t="shared" si="3"/>
        <v>120020575.47186017</v>
      </c>
      <c r="I16" s="776">
        <f t="shared" si="3"/>
        <v>121165451.92379247</v>
      </c>
      <c r="J16" s="776">
        <f t="shared" si="3"/>
        <v>113174629.33888535</v>
      </c>
      <c r="K16" s="776">
        <f t="shared" si="3"/>
        <v>102071512.61895551</v>
      </c>
      <c r="L16" s="776">
        <f t="shared" si="3"/>
        <v>111765334.69932057</v>
      </c>
      <c r="M16" s="776">
        <f t="shared" si="3"/>
        <v>110173346.34965503</v>
      </c>
    </row>
    <row r="17" spans="1:14" x14ac:dyDescent="0.2">
      <c r="A17" s="1083" t="s">
        <v>439</v>
      </c>
      <c r="B17" s="1083"/>
      <c r="C17" s="1083"/>
      <c r="D17" s="1083"/>
      <c r="E17" s="1083"/>
      <c r="F17" s="1083"/>
      <c r="G17" s="1083"/>
      <c r="H17" s="1083"/>
      <c r="I17" s="1083"/>
      <c r="J17" s="1083"/>
      <c r="K17" s="1083"/>
      <c r="L17" s="1083"/>
      <c r="M17" s="1083"/>
    </row>
    <row r="18" spans="1:14" x14ac:dyDescent="0.2">
      <c r="A18" s="1082" t="s">
        <v>445</v>
      </c>
      <c r="B18" s="1082"/>
      <c r="C18" s="1082"/>
      <c r="D18" s="1082"/>
      <c r="E18" s="1082"/>
      <c r="F18" s="1082"/>
      <c r="G18" s="1082"/>
      <c r="H18" s="1082"/>
      <c r="I18" s="1082"/>
      <c r="J18" s="1082"/>
      <c r="K18" s="1082"/>
      <c r="L18" s="1082"/>
      <c r="M18" s="1082"/>
    </row>
    <row r="19" spans="1:14" x14ac:dyDescent="0.2">
      <c r="A19" s="759"/>
      <c r="B19" s="760"/>
      <c r="C19" s="760"/>
      <c r="D19" s="760"/>
      <c r="E19" s="760"/>
      <c r="F19" s="760"/>
      <c r="G19" s="760"/>
      <c r="H19" s="760"/>
      <c r="I19" s="760"/>
      <c r="J19" s="760"/>
      <c r="K19" s="760"/>
      <c r="L19" s="760"/>
      <c r="M19" s="760"/>
    </row>
    <row r="20" spans="1:14" ht="13.5" thickBot="1" x14ac:dyDescent="0.25">
      <c r="A20" s="777">
        <f>SUM(B20:M20)</f>
        <v>100</v>
      </c>
      <c r="B20" s="778">
        <f>'[6]X22.55 DOF'!B17</f>
        <v>7.2514418630059367</v>
      </c>
      <c r="C20" s="778">
        <f>'[6]X22.55 DOF'!C17</f>
        <v>9.9551454118910687</v>
      </c>
      <c r="D20" s="778">
        <f>'[6]X22.55 DOF'!D17</f>
        <v>7.9050325997331639</v>
      </c>
      <c r="E20" s="778">
        <f>'[6]X22.55 DOF'!E17</f>
        <v>10.387348814176796</v>
      </c>
      <c r="F20" s="778">
        <f>'[6]X22.55 DOF'!F17</f>
        <v>8.5330269910677341</v>
      </c>
      <c r="G20" s="778">
        <f>'[6]X22.55 DOF'!G17</f>
        <v>8.8762453863084652</v>
      </c>
      <c r="H20" s="778">
        <f>'[6]X22.55 DOF'!H17</f>
        <v>8.3327842894151072</v>
      </c>
      <c r="I20" s="778">
        <f>'[6]X22.55 DOF'!I17</f>
        <v>8.4124394627306067</v>
      </c>
      <c r="J20" s="778">
        <f>'[6]X22.55 DOF'!J17</f>
        <v>7.8564760450697397</v>
      </c>
      <c r="K20" s="778">
        <f>'[6]X22.55 DOF'!K17</f>
        <v>7.0839740197724144</v>
      </c>
      <c r="L20" s="778">
        <f>'[6]X22.55 DOF'!L17</f>
        <v>7.7584240353313625</v>
      </c>
      <c r="M20" s="778">
        <f>'[6]X22.55 DOF'!M17</f>
        <v>7.6476610814976063</v>
      </c>
    </row>
    <row r="21" spans="1:14" ht="13.5" thickBot="1" x14ac:dyDescent="0.25">
      <c r="A21" s="761" t="s">
        <v>441</v>
      </c>
      <c r="B21" s="762" t="s">
        <v>1</v>
      </c>
      <c r="C21" s="762" t="s">
        <v>2</v>
      </c>
      <c r="D21" s="762" t="s">
        <v>3</v>
      </c>
      <c r="E21" s="762" t="s">
        <v>4</v>
      </c>
      <c r="F21" s="762" t="s">
        <v>5</v>
      </c>
      <c r="G21" s="762" t="s">
        <v>6</v>
      </c>
      <c r="H21" s="762" t="s">
        <v>7</v>
      </c>
      <c r="I21" s="762" t="s">
        <v>8</v>
      </c>
      <c r="J21" s="762" t="s">
        <v>9</v>
      </c>
      <c r="K21" s="762" t="s">
        <v>10</v>
      </c>
      <c r="L21" s="762" t="s">
        <v>11</v>
      </c>
      <c r="M21" s="762" t="s">
        <v>12</v>
      </c>
    </row>
    <row r="22" spans="1:14" ht="13.5" thickBot="1" x14ac:dyDescent="0.25">
      <c r="A22" s="763">
        <v>523578510</v>
      </c>
      <c r="B22" s="779">
        <f>$A$22*B20/100</f>
        <v>37966991.259842724</v>
      </c>
      <c r="C22" s="779">
        <f t="shared" ref="C22:M22" si="4">$A$22*C20/100</f>
        <v>52123002.015912622</v>
      </c>
      <c r="D22" s="779">
        <f t="shared" si="4"/>
        <v>41389051.900697164</v>
      </c>
      <c r="E22" s="779">
        <f t="shared" si="4"/>
        <v>54385926.149769537</v>
      </c>
      <c r="F22" s="779">
        <f t="shared" si="4"/>
        <v>44677095.577730276</v>
      </c>
      <c r="G22" s="779">
        <f t="shared" si="4"/>
        <v>46474113.337577611</v>
      </c>
      <c r="H22" s="779">
        <f t="shared" si="4"/>
        <v>43628667.824033707</v>
      </c>
      <c r="I22" s="779">
        <f t="shared" si="4"/>
        <v>44045725.193616912</v>
      </c>
      <c r="J22" s="779">
        <f t="shared" si="4"/>
        <v>41134820.215283066</v>
      </c>
      <c r="K22" s="779">
        <f t="shared" si="4"/>
        <v>37090165.621511512</v>
      </c>
      <c r="L22" s="779">
        <f t="shared" si="4"/>
        <v>40621440.963669822</v>
      </c>
      <c r="M22" s="779">
        <f t="shared" si="4"/>
        <v>40041509.940355055</v>
      </c>
      <c r="N22" s="765">
        <f>SUM(B22)</f>
        <v>37966991.259842724</v>
      </c>
    </row>
    <row r="23" spans="1:14" x14ac:dyDescent="0.2">
      <c r="A23" s="773" t="s">
        <v>442</v>
      </c>
      <c r="B23" s="766">
        <v>35431649</v>
      </c>
      <c r="C23" s="766">
        <v>40934154</v>
      </c>
      <c r="D23" s="766">
        <v>34575072</v>
      </c>
      <c r="E23" s="766">
        <v>38155801</v>
      </c>
      <c r="F23" s="766">
        <v>32272527</v>
      </c>
      <c r="G23" s="766">
        <v>34566214</v>
      </c>
      <c r="H23" s="766">
        <v>38666123</v>
      </c>
      <c r="I23" s="766">
        <v>33252371</v>
      </c>
      <c r="J23" s="766">
        <v>37088604</v>
      </c>
      <c r="K23" s="766">
        <v>37002228</v>
      </c>
      <c r="L23" s="766">
        <v>33241703</v>
      </c>
      <c r="M23" s="766">
        <v>37287098</v>
      </c>
    </row>
    <row r="24" spans="1:14" x14ac:dyDescent="0.2">
      <c r="A24" s="773" t="s">
        <v>443</v>
      </c>
      <c r="B24" s="766">
        <f>B22-B23</f>
        <v>2535342.2598427236</v>
      </c>
      <c r="C24" s="766">
        <f t="shared" ref="C24:M24" si="5">C22-C23</f>
        <v>11188848.015912622</v>
      </c>
      <c r="D24" s="766">
        <f t="shared" si="5"/>
        <v>6813979.9006971642</v>
      </c>
      <c r="E24" s="766">
        <f t="shared" si="5"/>
        <v>16230125.149769537</v>
      </c>
      <c r="F24" s="766">
        <f t="shared" si="5"/>
        <v>12404568.577730276</v>
      </c>
      <c r="G24" s="766">
        <f t="shared" si="5"/>
        <v>11907899.337577611</v>
      </c>
      <c r="H24" s="766">
        <f t="shared" si="5"/>
        <v>4962544.8240337074</v>
      </c>
      <c r="I24" s="766">
        <f t="shared" si="5"/>
        <v>10793354.193616912</v>
      </c>
      <c r="J24" s="766">
        <f t="shared" si="5"/>
        <v>4046216.215283066</v>
      </c>
      <c r="K24" s="766">
        <f t="shared" si="5"/>
        <v>87937.621511511505</v>
      </c>
      <c r="L24" s="766">
        <f t="shared" si="5"/>
        <v>7379737.9636698216</v>
      </c>
      <c r="M24" s="766">
        <f t="shared" si="5"/>
        <v>2754411.940355055</v>
      </c>
    </row>
    <row r="25" spans="1:14" x14ac:dyDescent="0.2">
      <c r="A25" s="706">
        <v>0.7</v>
      </c>
      <c r="B25" s="780">
        <f>B24*$A$25</f>
        <v>1774739.5818899064</v>
      </c>
      <c r="C25" s="780">
        <f t="shared" ref="C25:M25" si="6">C24*$A$25</f>
        <v>7832193.6111388346</v>
      </c>
      <c r="D25" s="780">
        <f t="shared" si="6"/>
        <v>4769785.9304880146</v>
      </c>
      <c r="E25" s="780">
        <f t="shared" si="6"/>
        <v>11361087.604838675</v>
      </c>
      <c r="F25" s="780">
        <f t="shared" si="6"/>
        <v>8683198.0044111926</v>
      </c>
      <c r="G25" s="780">
        <f t="shared" si="6"/>
        <v>8335529.5363043277</v>
      </c>
      <c r="H25" s="780">
        <f t="shared" si="6"/>
        <v>3473781.3768235948</v>
      </c>
      <c r="I25" s="780">
        <f t="shared" si="6"/>
        <v>7555347.9355318379</v>
      </c>
      <c r="J25" s="780">
        <f t="shared" si="6"/>
        <v>2832351.350698146</v>
      </c>
      <c r="K25" s="780">
        <f t="shared" si="6"/>
        <v>61556.335058058052</v>
      </c>
      <c r="L25" s="780">
        <f t="shared" si="6"/>
        <v>5165816.5745688751</v>
      </c>
      <c r="M25" s="780">
        <f t="shared" si="6"/>
        <v>1928088.3582485383</v>
      </c>
    </row>
    <row r="26" spans="1:14" ht="13.5" thickBot="1" x14ac:dyDescent="0.25">
      <c r="A26" s="781">
        <v>0.3</v>
      </c>
      <c r="B26" s="780">
        <f>B24*$A$26</f>
        <v>760602.67795281706</v>
      </c>
      <c r="C26" s="780">
        <f t="shared" ref="C26:M26" si="7">C24*$A$26</f>
        <v>3356654.4047737867</v>
      </c>
      <c r="D26" s="780">
        <f t="shared" si="7"/>
        <v>2044193.9702091492</v>
      </c>
      <c r="E26" s="780">
        <f t="shared" si="7"/>
        <v>4869037.5449308613</v>
      </c>
      <c r="F26" s="780">
        <f t="shared" si="7"/>
        <v>3721370.5733190826</v>
      </c>
      <c r="G26" s="780">
        <f t="shared" si="7"/>
        <v>3572369.8012732831</v>
      </c>
      <c r="H26" s="780">
        <f t="shared" si="7"/>
        <v>1488763.4472101121</v>
      </c>
      <c r="I26" s="780">
        <f t="shared" si="7"/>
        <v>3238006.2580850734</v>
      </c>
      <c r="J26" s="780">
        <f t="shared" si="7"/>
        <v>1213864.8645849198</v>
      </c>
      <c r="K26" s="780">
        <f t="shared" si="7"/>
        <v>26381.286453453449</v>
      </c>
      <c r="L26" s="780">
        <f t="shared" si="7"/>
        <v>2213921.3891009465</v>
      </c>
      <c r="M26" s="780">
        <f t="shared" si="7"/>
        <v>826323.58210651646</v>
      </c>
    </row>
    <row r="27" spans="1:14" ht="13.5" thickBot="1" x14ac:dyDescent="0.25">
      <c r="A27" s="775" t="s">
        <v>444</v>
      </c>
      <c r="B27" s="780">
        <f>SUM(B25:B26)</f>
        <v>2535342.2598427236</v>
      </c>
      <c r="C27" s="780">
        <f t="shared" ref="C27:L27" si="8">SUM(C25:C26)</f>
        <v>11188848.015912622</v>
      </c>
      <c r="D27" s="780">
        <f t="shared" si="8"/>
        <v>6813979.9006971642</v>
      </c>
      <c r="E27" s="780">
        <f t="shared" si="8"/>
        <v>16230125.149769537</v>
      </c>
      <c r="F27" s="780">
        <f t="shared" si="8"/>
        <v>12404568.577730276</v>
      </c>
      <c r="G27" s="780">
        <f t="shared" si="8"/>
        <v>11907899.337577611</v>
      </c>
      <c r="H27" s="780">
        <f t="shared" si="8"/>
        <v>4962544.8240337074</v>
      </c>
      <c r="I27" s="780">
        <f t="shared" si="8"/>
        <v>10793354.193616912</v>
      </c>
      <c r="J27" s="780">
        <f t="shared" si="8"/>
        <v>4046216.215283066</v>
      </c>
      <c r="K27" s="780">
        <f t="shared" si="8"/>
        <v>87937.621511511505</v>
      </c>
      <c r="L27" s="780">
        <f t="shared" si="8"/>
        <v>7379737.9636698216</v>
      </c>
      <c r="M27" s="780">
        <f t="shared" ref="M27" si="9">SUM(M25:M26)</f>
        <v>2754411.940355055</v>
      </c>
      <c r="N27" s="782"/>
    </row>
    <row r="28" spans="1:14" x14ac:dyDescent="0.2">
      <c r="A28" s="783"/>
      <c r="B28" s="780"/>
      <c r="C28" s="780"/>
      <c r="D28" s="780"/>
      <c r="E28" s="780"/>
      <c r="F28" s="780"/>
      <c r="G28" s="780"/>
      <c r="H28" s="780"/>
      <c r="I28" s="780"/>
      <c r="J28" s="780"/>
      <c r="K28" s="780"/>
      <c r="L28" s="780"/>
      <c r="M28" s="780"/>
    </row>
    <row r="29" spans="1:14" x14ac:dyDescent="0.2">
      <c r="A29" s="783"/>
      <c r="B29" s="780"/>
      <c r="C29" s="780"/>
      <c r="D29" s="780"/>
      <c r="E29" s="780"/>
      <c r="F29" s="780"/>
      <c r="G29" s="780"/>
      <c r="H29" s="780"/>
      <c r="I29" s="780"/>
      <c r="J29" s="780"/>
      <c r="K29" s="780"/>
      <c r="L29" s="780"/>
      <c r="M29" s="780"/>
    </row>
    <row r="30" spans="1:14" x14ac:dyDescent="0.2">
      <c r="A30" s="783"/>
      <c r="B30" s="780"/>
      <c r="C30" s="780"/>
      <c r="D30" s="780"/>
      <c r="E30" s="780"/>
      <c r="F30" s="780"/>
      <c r="G30" s="780"/>
      <c r="H30" s="780"/>
      <c r="I30" s="780"/>
      <c r="J30" s="780"/>
      <c r="K30" s="780"/>
      <c r="L30" s="780"/>
      <c r="M30" s="780"/>
    </row>
    <row r="31" spans="1:14" x14ac:dyDescent="0.2">
      <c r="A31" s="1083" t="s">
        <v>439</v>
      </c>
      <c r="B31" s="1083"/>
      <c r="C31" s="1083"/>
      <c r="D31" s="1083"/>
      <c r="E31" s="1083"/>
      <c r="F31" s="1083"/>
      <c r="G31" s="1083"/>
      <c r="H31" s="1083"/>
      <c r="I31" s="1083"/>
      <c r="J31" s="1083"/>
      <c r="K31" s="1083"/>
      <c r="L31" s="1083"/>
      <c r="M31" s="1083"/>
    </row>
    <row r="32" spans="1:14" x14ac:dyDescent="0.2">
      <c r="A32" s="1082" t="s">
        <v>446</v>
      </c>
      <c r="B32" s="1082"/>
      <c r="C32" s="1082"/>
      <c r="D32" s="1082"/>
      <c r="E32" s="1082"/>
      <c r="F32" s="1082"/>
      <c r="G32" s="1082"/>
      <c r="H32" s="1082"/>
      <c r="I32" s="1082"/>
      <c r="J32" s="1082"/>
      <c r="K32" s="1082"/>
      <c r="L32" s="1082"/>
      <c r="M32" s="1082"/>
    </row>
    <row r="33" spans="1:16" x14ac:dyDescent="0.2">
      <c r="A33" s="759"/>
      <c r="B33" s="760"/>
      <c r="C33" s="760"/>
      <c r="D33" s="760"/>
      <c r="E33" s="760"/>
      <c r="F33" s="760"/>
      <c r="G33" s="760"/>
      <c r="H33" s="760"/>
      <c r="I33" s="760"/>
      <c r="J33" s="760"/>
      <c r="K33" s="760"/>
      <c r="L33" s="760"/>
      <c r="M33" s="760"/>
    </row>
    <row r="34" spans="1:16" ht="13.5" thickBot="1" x14ac:dyDescent="0.25">
      <c r="A34" s="777">
        <f>SUM(B34:M34)</f>
        <v>100</v>
      </c>
      <c r="B34" s="778">
        <f>'[6]X22.55 DOF'!B29</f>
        <v>7.9320978817451495</v>
      </c>
      <c r="C34" s="778">
        <f>'[6]X22.55 DOF'!C29</f>
        <v>11.363296399957122</v>
      </c>
      <c r="D34" s="778">
        <f>'[6]X22.55 DOF'!D29</f>
        <v>9.4675608659466874</v>
      </c>
      <c r="E34" s="778">
        <f>'[6]X22.55 DOF'!E29</f>
        <v>6.5738412320350701</v>
      </c>
      <c r="F34" s="778">
        <f>'[6]X22.55 DOF'!F29</f>
        <v>7.5302600743645236</v>
      </c>
      <c r="G34" s="778">
        <f>'[6]X22.55 DOF'!G29</f>
        <v>8.0197442600698157</v>
      </c>
      <c r="H34" s="778">
        <f>'[6]X22.55 DOF'!H29</f>
        <v>8.2168680514784214</v>
      </c>
      <c r="I34" s="778">
        <f>'[6]X22.55 DOF'!I29</f>
        <v>9.0119659632992377</v>
      </c>
      <c r="J34" s="778">
        <f>'[6]X22.55 DOF'!J29</f>
        <v>8.9968351588805771</v>
      </c>
      <c r="K34" s="778">
        <f>'[6]X22.55 DOF'!K29</f>
        <v>7.8506607024657598</v>
      </c>
      <c r="L34" s="778">
        <f>'[6]X22.55 DOF'!L29</f>
        <v>7.5366877101257401</v>
      </c>
      <c r="M34" s="778">
        <f>'[6]X22.55 DOF'!M29</f>
        <v>7.500181699631896</v>
      </c>
    </row>
    <row r="35" spans="1:16" ht="13.5" thickBot="1" x14ac:dyDescent="0.25">
      <c r="A35" s="761" t="s">
        <v>441</v>
      </c>
      <c r="B35" s="762" t="s">
        <v>1</v>
      </c>
      <c r="C35" s="762" t="s">
        <v>2</v>
      </c>
      <c r="D35" s="762" t="s">
        <v>3</v>
      </c>
      <c r="E35" s="762" t="s">
        <v>4</v>
      </c>
      <c r="F35" s="762" t="s">
        <v>5</v>
      </c>
      <c r="G35" s="762" t="s">
        <v>6</v>
      </c>
      <c r="H35" s="762" t="s">
        <v>7</v>
      </c>
      <c r="I35" s="762" t="s">
        <v>8</v>
      </c>
      <c r="J35" s="762" t="s">
        <v>9</v>
      </c>
      <c r="K35" s="762" t="s">
        <v>10</v>
      </c>
      <c r="L35" s="762" t="s">
        <v>11</v>
      </c>
      <c r="M35" s="762" t="s">
        <v>12</v>
      </c>
    </row>
    <row r="36" spans="1:16" ht="13.5" thickBot="1" x14ac:dyDescent="0.25">
      <c r="A36" s="763">
        <v>109274643</v>
      </c>
      <c r="B36" s="779">
        <f>$A$36*B34/100</f>
        <v>8667771.642687574</v>
      </c>
      <c r="C36" s="779">
        <f t="shared" ref="C36:L36" si="10">$A$36*C34/100</f>
        <v>12417201.574084997</v>
      </c>
      <c r="D36" s="779">
        <f t="shared" si="10"/>
        <v>10345643.337070951</v>
      </c>
      <c r="E36" s="779">
        <f t="shared" si="10"/>
        <v>7183541.5376931252</v>
      </c>
      <c r="F36" s="779">
        <f t="shared" si="10"/>
        <v>8228664.8132333672</v>
      </c>
      <c r="G36" s="779">
        <f t="shared" si="10"/>
        <v>8763546.9097042829</v>
      </c>
      <c r="H36" s="779">
        <f t="shared" si="10"/>
        <v>8978953.2290341016</v>
      </c>
      <c r="I36" s="779">
        <f t="shared" si="10"/>
        <v>9847793.6336767524</v>
      </c>
      <c r="J36" s="779">
        <f t="shared" si="10"/>
        <v>9831259.5011652336</v>
      </c>
      <c r="K36" s="779">
        <f t="shared" si="10"/>
        <v>8578781.4557607509</v>
      </c>
      <c r="L36" s="779">
        <f t="shared" si="10"/>
        <v>8235688.5892647775</v>
      </c>
      <c r="M36" s="779">
        <f>$A$36*M34/100</f>
        <v>8195796.7766240872</v>
      </c>
      <c r="N36" s="765">
        <f>SUM(B36)</f>
        <v>8667771.642687574</v>
      </c>
    </row>
    <row r="37" spans="1:16" ht="13.5" thickBot="1" x14ac:dyDescent="0.25">
      <c r="A37" s="769">
        <v>0.22500000000000001</v>
      </c>
      <c r="B37" s="784">
        <v>0.22500000000000001</v>
      </c>
      <c r="C37" s="784">
        <v>0.22500000000000001</v>
      </c>
      <c r="D37" s="784">
        <v>0.22500000000000001</v>
      </c>
      <c r="E37" s="784">
        <v>0.22500000000000001</v>
      </c>
      <c r="F37" s="784">
        <v>0.22500000000000001</v>
      </c>
      <c r="G37" s="784">
        <v>0.22500000000000001</v>
      </c>
      <c r="H37" s="784">
        <v>0.22500000000000001</v>
      </c>
      <c r="I37" s="784">
        <v>0.22500000000000001</v>
      </c>
      <c r="J37" s="784">
        <v>0.22500000000000001</v>
      </c>
      <c r="K37" s="784">
        <v>0.22500000000000001</v>
      </c>
      <c r="L37" s="784">
        <v>0.22500000000000001</v>
      </c>
      <c r="M37" s="784">
        <v>0.22500000000000001</v>
      </c>
      <c r="N37" s="765"/>
    </row>
    <row r="38" spans="1:16" ht="13.5" thickBot="1" x14ac:dyDescent="0.25">
      <c r="A38" s="763">
        <f t="shared" ref="A38:M38" si="11">A36*A37</f>
        <v>24586794.675000001</v>
      </c>
      <c r="B38" s="772">
        <f t="shared" si="11"/>
        <v>1950248.6196047042</v>
      </c>
      <c r="C38" s="772">
        <f t="shared" si="11"/>
        <v>2793870.3541691243</v>
      </c>
      <c r="D38" s="772">
        <f t="shared" si="11"/>
        <v>2327769.7508409643</v>
      </c>
      <c r="E38" s="772">
        <f t="shared" si="11"/>
        <v>1616296.8459809532</v>
      </c>
      <c r="F38" s="772">
        <f t="shared" si="11"/>
        <v>1851449.5829775077</v>
      </c>
      <c r="G38" s="772">
        <f t="shared" si="11"/>
        <v>1971798.0546834636</v>
      </c>
      <c r="H38" s="772">
        <f t="shared" si="11"/>
        <v>2020264.476532673</v>
      </c>
      <c r="I38" s="772">
        <f t="shared" si="11"/>
        <v>2215753.5675772694</v>
      </c>
      <c r="J38" s="772">
        <f t="shared" si="11"/>
        <v>2212033.3877621777</v>
      </c>
      <c r="K38" s="772">
        <f t="shared" si="11"/>
        <v>1930225.8275461691</v>
      </c>
      <c r="L38" s="772">
        <f t="shared" si="11"/>
        <v>1853029.9325845749</v>
      </c>
      <c r="M38" s="772">
        <f t="shared" si="11"/>
        <v>1844054.2747404196</v>
      </c>
      <c r="N38" s="765">
        <f>SUM(B38)</f>
        <v>1950248.6196047042</v>
      </c>
    </row>
    <row r="39" spans="1:16" x14ac:dyDescent="0.2">
      <c r="A39" s="773" t="s">
        <v>442</v>
      </c>
      <c r="B39" s="774">
        <v>1445775.3</v>
      </c>
      <c r="C39" s="774">
        <v>2205753.7400000002</v>
      </c>
      <c r="D39" s="774">
        <v>1516402.2</v>
      </c>
      <c r="E39" s="774">
        <v>1722537.64</v>
      </c>
      <c r="F39" s="774">
        <v>1641136.12</v>
      </c>
      <c r="G39" s="774">
        <v>1715735.07</v>
      </c>
      <c r="H39" s="774">
        <v>1743567.82</v>
      </c>
      <c r="I39" s="774">
        <v>1808863.59</v>
      </c>
      <c r="J39" s="774">
        <v>1749982.9</v>
      </c>
      <c r="K39" s="774">
        <v>1710440.37</v>
      </c>
      <c r="L39" s="774">
        <v>1671584.47</v>
      </c>
      <c r="M39" s="774">
        <v>1678220.79</v>
      </c>
    </row>
    <row r="40" spans="1:16" ht="13.5" thickBot="1" x14ac:dyDescent="0.25">
      <c r="A40" s="773" t="s">
        <v>443</v>
      </c>
      <c r="B40" s="774">
        <f>B38-B39</f>
        <v>504473.31960470416</v>
      </c>
      <c r="C40" s="774">
        <f t="shared" ref="C40:M40" si="12">C38-C39</f>
        <v>588116.61416912405</v>
      </c>
      <c r="D40" s="774">
        <f t="shared" si="12"/>
        <v>811367.55084096431</v>
      </c>
      <c r="E40" s="774">
        <f t="shared" si="12"/>
        <v>-106240.79401904671</v>
      </c>
      <c r="F40" s="774">
        <f t="shared" si="12"/>
        <v>210313.46297750762</v>
      </c>
      <c r="G40" s="774">
        <f t="shared" si="12"/>
        <v>256062.98468346358</v>
      </c>
      <c r="H40" s="774">
        <f t="shared" si="12"/>
        <v>276696.65653267293</v>
      </c>
      <c r="I40" s="774">
        <f t="shared" si="12"/>
        <v>406889.97757726931</v>
      </c>
      <c r="J40" s="774">
        <f t="shared" si="12"/>
        <v>462050.48776217783</v>
      </c>
      <c r="K40" s="774">
        <f t="shared" si="12"/>
        <v>219785.45754616894</v>
      </c>
      <c r="L40" s="774">
        <f t="shared" si="12"/>
        <v>181445.46258457494</v>
      </c>
      <c r="M40" s="774">
        <f t="shared" si="12"/>
        <v>165833.48474041955</v>
      </c>
    </row>
    <row r="41" spans="1:16" ht="13.5" thickBot="1" x14ac:dyDescent="0.25">
      <c r="A41" s="775" t="s">
        <v>444</v>
      </c>
      <c r="B41" s="774">
        <f>B39+B40</f>
        <v>1950248.6196047042</v>
      </c>
      <c r="C41" s="774">
        <f t="shared" ref="C41:M41" si="13">C39+C40</f>
        <v>2793870.3541691243</v>
      </c>
      <c r="D41" s="774">
        <f t="shared" si="13"/>
        <v>2327769.7508409643</v>
      </c>
      <c r="E41" s="774">
        <f t="shared" si="13"/>
        <v>1616296.8459809532</v>
      </c>
      <c r="F41" s="774">
        <f t="shared" si="13"/>
        <v>1851449.5829775077</v>
      </c>
      <c r="G41" s="774">
        <f t="shared" si="13"/>
        <v>1971798.0546834636</v>
      </c>
      <c r="H41" s="774">
        <f t="shared" si="13"/>
        <v>2020264.476532673</v>
      </c>
      <c r="I41" s="774">
        <f t="shared" si="13"/>
        <v>2215753.5675772694</v>
      </c>
      <c r="J41" s="774">
        <f t="shared" si="13"/>
        <v>2212033.3877621777</v>
      </c>
      <c r="K41" s="774">
        <f t="shared" si="13"/>
        <v>1930225.8275461691</v>
      </c>
      <c r="L41" s="774">
        <f t="shared" si="13"/>
        <v>1853029.9325845749</v>
      </c>
      <c r="M41" s="774">
        <f t="shared" si="13"/>
        <v>1844054.2747404196</v>
      </c>
    </row>
    <row r="42" spans="1:16" x14ac:dyDescent="0.2">
      <c r="A42" s="1083" t="s">
        <v>439</v>
      </c>
      <c r="B42" s="1083"/>
      <c r="C42" s="1083"/>
      <c r="D42" s="1083"/>
      <c r="E42" s="1083"/>
      <c r="F42" s="1083"/>
      <c r="G42" s="1083"/>
      <c r="H42" s="1083"/>
      <c r="I42" s="1083"/>
      <c r="J42" s="1083"/>
      <c r="K42" s="1083"/>
      <c r="L42" s="1083"/>
      <c r="M42" s="1083"/>
    </row>
    <row r="43" spans="1:16" x14ac:dyDescent="0.2">
      <c r="A43" s="1082" t="s">
        <v>447</v>
      </c>
      <c r="B43" s="1082"/>
      <c r="C43" s="1082"/>
      <c r="D43" s="1082"/>
      <c r="E43" s="1082"/>
      <c r="F43" s="1082"/>
      <c r="G43" s="1082"/>
      <c r="H43" s="1082"/>
      <c r="I43" s="1082"/>
      <c r="J43" s="1082"/>
      <c r="K43" s="1082"/>
      <c r="L43" s="1082"/>
      <c r="M43" s="1082"/>
    </row>
    <row r="44" spans="1:16" x14ac:dyDescent="0.2">
      <c r="A44" s="759"/>
      <c r="B44" s="760"/>
      <c r="C44" s="760"/>
      <c r="D44" s="760"/>
      <c r="E44" s="760"/>
      <c r="F44" s="760"/>
      <c r="G44" s="760"/>
      <c r="H44" s="760"/>
      <c r="I44" s="760"/>
      <c r="J44" s="760"/>
      <c r="K44" s="760"/>
      <c r="L44" s="760"/>
      <c r="M44" s="760"/>
    </row>
    <row r="45" spans="1:16" ht="13.5" thickBot="1" x14ac:dyDescent="0.25">
      <c r="A45" s="777">
        <f>SUM(B45:M45)</f>
        <v>100.00000000000001</v>
      </c>
      <c r="B45" s="778">
        <f>'[6]X22.55 DOF'!B38</f>
        <v>7.863422435355699</v>
      </c>
      <c r="C45" s="778">
        <f>'[6]X22.55 DOF'!C38</f>
        <v>8.4061402258748288</v>
      </c>
      <c r="D45" s="778">
        <f>'[6]X22.55 DOF'!D38</f>
        <v>7.912359428855094</v>
      </c>
      <c r="E45" s="778">
        <f>'[6]X22.55 DOF'!E38</f>
        <v>8.7165170739277134</v>
      </c>
      <c r="F45" s="778">
        <f>'[6]X22.55 DOF'!F38</f>
        <v>8.5895446247460026</v>
      </c>
      <c r="G45" s="778">
        <f>'[6]X22.55 DOF'!G38</f>
        <v>8.901446648468756</v>
      </c>
      <c r="H45" s="778">
        <f>'[6]X22.55 DOF'!H38</f>
        <v>8.3809748273219942</v>
      </c>
      <c r="I45" s="778">
        <f>'[6]X22.55 DOF'!I38</f>
        <v>8.700502729394092</v>
      </c>
      <c r="J45" s="778">
        <f>'[6]X22.55 DOF'!J38</f>
        <v>8.5617099438187356</v>
      </c>
      <c r="K45" s="778">
        <f>'[6]X22.55 DOF'!K38</f>
        <v>7.8189412943148229</v>
      </c>
      <c r="L45" s="778">
        <f>'[6]X22.55 DOF'!L38</f>
        <v>8.2284554607178233</v>
      </c>
      <c r="M45" s="778">
        <f>'[6]X22.55 DOF'!M38</f>
        <v>7.9199853072044375</v>
      </c>
    </row>
    <row r="46" spans="1:16" ht="13.5" thickBot="1" x14ac:dyDescent="0.25">
      <c r="A46" s="761" t="s">
        <v>441</v>
      </c>
      <c r="B46" s="762" t="s">
        <v>1</v>
      </c>
      <c r="C46" s="762" t="s">
        <v>2</v>
      </c>
      <c r="D46" s="762" t="s">
        <v>3</v>
      </c>
      <c r="E46" s="762" t="s">
        <v>4</v>
      </c>
      <c r="F46" s="762" t="s">
        <v>5</v>
      </c>
      <c r="G46" s="762" t="s">
        <v>6</v>
      </c>
      <c r="H46" s="762" t="s">
        <v>7</v>
      </c>
      <c r="I46" s="762" t="s">
        <v>8</v>
      </c>
      <c r="J46" s="762" t="s">
        <v>9</v>
      </c>
      <c r="K46" s="762" t="s">
        <v>10</v>
      </c>
      <c r="L46" s="762" t="s">
        <v>11</v>
      </c>
      <c r="M46" s="762" t="s">
        <v>12</v>
      </c>
    </row>
    <row r="47" spans="1:16" ht="13.5" thickBot="1" x14ac:dyDescent="0.25">
      <c r="A47" s="763">
        <v>222269479</v>
      </c>
      <c r="B47" s="785">
        <f>$A$47*B45/100</f>
        <v>17477988.078634225</v>
      </c>
      <c r="C47" s="785">
        <f t="shared" ref="C47:M47" si="14">$A$47*C45/100</f>
        <v>18684284.084061407</v>
      </c>
      <c r="D47" s="785">
        <f t="shared" si="14"/>
        <v>17586760.079123594</v>
      </c>
      <c r="E47" s="785">
        <f t="shared" si="14"/>
        <v>19374157.087165173</v>
      </c>
      <c r="F47" s="785">
        <f t="shared" si="14"/>
        <v>19091936.085895445</v>
      </c>
      <c r="G47" s="785">
        <f t="shared" si="14"/>
        <v>19785199.089014467</v>
      </c>
      <c r="H47" s="785">
        <f t="shared" si="14"/>
        <v>18628349.083809745</v>
      </c>
      <c r="I47" s="785">
        <f t="shared" si="14"/>
        <v>19338562.08700503</v>
      </c>
      <c r="J47" s="785">
        <f t="shared" si="14"/>
        <v>19030068.085617095</v>
      </c>
      <c r="K47" s="785">
        <f t="shared" si="14"/>
        <v>17379120.078189414</v>
      </c>
      <c r="L47" s="785">
        <f t="shared" si="14"/>
        <v>18289345.082284555</v>
      </c>
      <c r="M47" s="785">
        <f t="shared" si="14"/>
        <v>17603710.079199854</v>
      </c>
      <c r="N47" s="765">
        <f>SUM(B47)</f>
        <v>17477988.078634225</v>
      </c>
      <c r="P47" s="667"/>
    </row>
    <row r="48" spans="1:16" ht="13.5" thickBot="1" x14ac:dyDescent="0.25">
      <c r="A48" s="769">
        <v>0.22500000000000001</v>
      </c>
      <c r="B48" s="784">
        <v>0.22500000000000001</v>
      </c>
      <c r="C48" s="784">
        <v>0.22500000000000001</v>
      </c>
      <c r="D48" s="784">
        <v>0.22500000000000001</v>
      </c>
      <c r="E48" s="784">
        <v>0.22500000000000001</v>
      </c>
      <c r="F48" s="784">
        <v>0.22500000000000001</v>
      </c>
      <c r="G48" s="784">
        <v>0.22500000000000001</v>
      </c>
      <c r="H48" s="784">
        <v>0.22500000000000001</v>
      </c>
      <c r="I48" s="784">
        <v>0.22500000000000001</v>
      </c>
      <c r="J48" s="784">
        <v>0.22500000000000001</v>
      </c>
      <c r="K48" s="784">
        <v>0.22500000000000001</v>
      </c>
      <c r="L48" s="784">
        <v>0.22500000000000001</v>
      </c>
      <c r="M48" s="784">
        <v>0.22500000000000001</v>
      </c>
      <c r="N48" s="765"/>
    </row>
    <row r="49" spans="1:16" ht="13.5" thickBot="1" x14ac:dyDescent="0.25">
      <c r="A49" s="763">
        <f t="shared" ref="A49:M49" si="15">A47*A48</f>
        <v>50010632.774999999</v>
      </c>
      <c r="B49" s="772">
        <f t="shared" si="15"/>
        <v>3932547.3176927008</v>
      </c>
      <c r="C49" s="772">
        <f t="shared" si="15"/>
        <v>4203963.918913817</v>
      </c>
      <c r="D49" s="772">
        <f t="shared" si="15"/>
        <v>3957021.0178028089</v>
      </c>
      <c r="E49" s="772">
        <f t="shared" si="15"/>
        <v>4359185.3446121644</v>
      </c>
      <c r="F49" s="772">
        <f t="shared" si="15"/>
        <v>4295685.6193264751</v>
      </c>
      <c r="G49" s="772">
        <f t="shared" si="15"/>
        <v>4451669.7950282553</v>
      </c>
      <c r="H49" s="772">
        <f t="shared" si="15"/>
        <v>4191378.5438571926</v>
      </c>
      <c r="I49" s="772">
        <f t="shared" si="15"/>
        <v>4351176.4695761316</v>
      </c>
      <c r="J49" s="772">
        <f t="shared" si="15"/>
        <v>4281765.3192638466</v>
      </c>
      <c r="K49" s="772">
        <f t="shared" si="15"/>
        <v>3910302.0175926182</v>
      </c>
      <c r="L49" s="772">
        <f t="shared" si="15"/>
        <v>4115102.643514025</v>
      </c>
      <c r="M49" s="772">
        <f t="shared" si="15"/>
        <v>3960834.7678199671</v>
      </c>
      <c r="N49" s="765">
        <f>SUM(B49)</f>
        <v>3932547.3176927008</v>
      </c>
      <c r="P49" s="667"/>
    </row>
    <row r="50" spans="1:16" x14ac:dyDescent="0.2">
      <c r="A50" s="773" t="s">
        <v>442</v>
      </c>
      <c r="B50" s="774">
        <v>2973029.93</v>
      </c>
      <c r="C50" s="774">
        <v>2991400.51</v>
      </c>
      <c r="D50" s="774">
        <v>3398867.13</v>
      </c>
      <c r="E50" s="774">
        <v>3261038.01</v>
      </c>
      <c r="F50" s="774">
        <v>3480510.59</v>
      </c>
      <c r="G50" s="774">
        <v>3343876.25</v>
      </c>
      <c r="H50" s="774">
        <v>3466561.02</v>
      </c>
      <c r="I50" s="774">
        <v>3440989.09</v>
      </c>
      <c r="J50" s="774">
        <v>3282805.89</v>
      </c>
      <c r="K50" s="774">
        <v>3455841.05</v>
      </c>
      <c r="L50" s="774">
        <v>3328385.93</v>
      </c>
      <c r="M50" s="774">
        <v>2449944.6</v>
      </c>
    </row>
    <row r="51" spans="1:16" ht="13.5" thickBot="1" x14ac:dyDescent="0.25">
      <c r="A51" s="773" t="s">
        <v>443</v>
      </c>
      <c r="B51" s="774">
        <f>B49-B50</f>
        <v>959517.38769270061</v>
      </c>
      <c r="C51" s="774">
        <f t="shared" ref="C51:M51" si="16">C49-C50</f>
        <v>1212563.4089138173</v>
      </c>
      <c r="D51" s="774">
        <f t="shared" si="16"/>
        <v>558153.88780280901</v>
      </c>
      <c r="E51" s="774">
        <f t="shared" si="16"/>
        <v>1098147.3346121646</v>
      </c>
      <c r="F51" s="774">
        <f t="shared" si="16"/>
        <v>815175.02932647523</v>
      </c>
      <c r="G51" s="774">
        <f t="shared" si="16"/>
        <v>1107793.5450282553</v>
      </c>
      <c r="H51" s="774">
        <f t="shared" si="16"/>
        <v>724817.5238571926</v>
      </c>
      <c r="I51" s="774">
        <f t="shared" si="16"/>
        <v>910187.3795761317</v>
      </c>
      <c r="J51" s="774">
        <f t="shared" si="16"/>
        <v>998959.42926384648</v>
      </c>
      <c r="K51" s="774">
        <f t="shared" si="16"/>
        <v>454460.96759261843</v>
      </c>
      <c r="L51" s="774">
        <f t="shared" si="16"/>
        <v>786716.71351402486</v>
      </c>
      <c r="M51" s="774">
        <f t="shared" si="16"/>
        <v>1510890.167819967</v>
      </c>
    </row>
    <row r="52" spans="1:16" ht="12.75" customHeight="1" thickBot="1" x14ac:dyDescent="0.25">
      <c r="A52" s="775" t="s">
        <v>444</v>
      </c>
      <c r="B52" s="776">
        <f>B50+B51</f>
        <v>3932547.3176927008</v>
      </c>
      <c r="C52" s="776">
        <f t="shared" ref="C52:M52" si="17">C50+C51</f>
        <v>4203963.918913817</v>
      </c>
      <c r="D52" s="776">
        <f t="shared" si="17"/>
        <v>3957021.0178028089</v>
      </c>
      <c r="E52" s="776">
        <f t="shared" si="17"/>
        <v>4359185.3446121644</v>
      </c>
      <c r="F52" s="776">
        <f t="shared" si="17"/>
        <v>4295685.6193264751</v>
      </c>
      <c r="G52" s="776">
        <f t="shared" si="17"/>
        <v>4451669.7950282553</v>
      </c>
      <c r="H52" s="776">
        <f t="shared" si="17"/>
        <v>4191378.5438571926</v>
      </c>
      <c r="I52" s="776">
        <f t="shared" si="17"/>
        <v>4351176.4695761316</v>
      </c>
      <c r="J52" s="776">
        <f t="shared" si="17"/>
        <v>4281765.3192638466</v>
      </c>
      <c r="K52" s="776">
        <f t="shared" si="17"/>
        <v>3910302.0175926182</v>
      </c>
      <c r="L52" s="776">
        <f t="shared" si="17"/>
        <v>4115102.643514025</v>
      </c>
      <c r="M52" s="776">
        <f t="shared" si="17"/>
        <v>3960834.7678199671</v>
      </c>
    </row>
    <row r="53" spans="1:16" ht="12.75" customHeight="1" x14ac:dyDescent="0.2">
      <c r="A53" s="786"/>
    </row>
    <row r="54" spans="1:16" x14ac:dyDescent="0.2">
      <c r="A54" s="1083" t="s">
        <v>439</v>
      </c>
      <c r="B54" s="1083"/>
      <c r="C54" s="1083"/>
      <c r="D54" s="1083"/>
      <c r="E54" s="1083"/>
      <c r="F54" s="1083"/>
      <c r="G54" s="1083"/>
      <c r="H54" s="1083"/>
      <c r="I54" s="1083"/>
      <c r="J54" s="1083"/>
      <c r="K54" s="1083"/>
      <c r="L54" s="1083"/>
      <c r="M54" s="1083"/>
    </row>
    <row r="55" spans="1:16" x14ac:dyDescent="0.2">
      <c r="A55" s="1082" t="s">
        <v>448</v>
      </c>
      <c r="B55" s="1082"/>
      <c r="C55" s="1082"/>
      <c r="D55" s="1082"/>
      <c r="E55" s="1082"/>
      <c r="F55" s="1082"/>
      <c r="G55" s="1082"/>
      <c r="H55" s="1082"/>
      <c r="I55" s="1082"/>
      <c r="J55" s="1082"/>
      <c r="K55" s="1082"/>
      <c r="L55" s="1082"/>
      <c r="M55" s="1082"/>
    </row>
    <row r="56" spans="1:16" x14ac:dyDescent="0.2">
      <c r="A56" s="759"/>
      <c r="B56" s="760"/>
      <c r="C56" s="760"/>
      <c r="D56" s="760"/>
      <c r="E56" s="760"/>
      <c r="F56" s="760"/>
      <c r="G56" s="760"/>
      <c r="H56" s="760"/>
      <c r="I56" s="760"/>
      <c r="J56" s="760"/>
      <c r="K56" s="760"/>
      <c r="L56" s="760"/>
      <c r="M56" s="760"/>
    </row>
    <row r="57" spans="1:16" ht="13.5" thickBot="1" x14ac:dyDescent="0.25">
      <c r="A57" s="777">
        <f>SUM(B57:M57)</f>
        <v>99.999999999999986</v>
      </c>
      <c r="B57" s="778">
        <f>'[6]X22.55 DOF'!B47</f>
        <v>10.472959698551817</v>
      </c>
      <c r="C57" s="778">
        <f>'[6]X22.55 DOF'!C47</f>
        <v>5.0359239549016088</v>
      </c>
      <c r="D57" s="778">
        <f>'[6]X22.55 DOF'!D47</f>
        <v>5.0359239549016088</v>
      </c>
      <c r="E57" s="778">
        <f>'[6]X22.55 DOF'!E47</f>
        <v>18.464872531870931</v>
      </c>
      <c r="F57" s="778">
        <f>'[6]X22.55 DOF'!F47</f>
        <v>5.0359239549016088</v>
      </c>
      <c r="G57" s="778">
        <f>'[6]X22.55 DOF'!G47</f>
        <v>5.0359239549016088</v>
      </c>
      <c r="H57" s="778">
        <f>'[6]X22.55 DOF'!H47</f>
        <v>17.64041034258565</v>
      </c>
      <c r="I57" s="778">
        <f>'[6]X22.55 DOF'!I47</f>
        <v>5.0359239549016088</v>
      </c>
      <c r="J57" s="778">
        <f>'[6]X22.55 DOF'!J47</f>
        <v>5.0359239549016088</v>
      </c>
      <c r="K57" s="778">
        <f>'[6]X22.55 DOF'!K47</f>
        <v>13.134365787778732</v>
      </c>
      <c r="L57" s="778">
        <f>'[6]X22.55 DOF'!L47</f>
        <v>5.0359239549016088</v>
      </c>
      <c r="M57" s="778">
        <f>'[6]X22.55 DOF'!M47</f>
        <v>5.0359239549016088</v>
      </c>
    </row>
    <row r="58" spans="1:16" ht="13.5" thickBot="1" x14ac:dyDescent="0.25">
      <c r="A58" s="761" t="s">
        <v>441</v>
      </c>
      <c r="B58" s="762" t="s">
        <v>1</v>
      </c>
      <c r="C58" s="762" t="s">
        <v>2</v>
      </c>
      <c r="D58" s="762" t="s">
        <v>3</v>
      </c>
      <c r="E58" s="762" t="s">
        <v>4</v>
      </c>
      <c r="F58" s="762" t="s">
        <v>5</v>
      </c>
      <c r="G58" s="762" t="s">
        <v>6</v>
      </c>
      <c r="H58" s="762" t="s">
        <v>7</v>
      </c>
      <c r="I58" s="762" t="s">
        <v>8</v>
      </c>
      <c r="J58" s="762" t="s">
        <v>9</v>
      </c>
      <c r="K58" s="762" t="s">
        <v>10</v>
      </c>
      <c r="L58" s="762" t="s">
        <v>11</v>
      </c>
      <c r="M58" s="762" t="s">
        <v>12</v>
      </c>
    </row>
    <row r="59" spans="1:16" ht="13.5" thickBot="1" x14ac:dyDescent="0.25">
      <c r="A59" s="763">
        <v>335107516</v>
      </c>
      <c r="B59" s="779">
        <f>$A$59*B57/100</f>
        <v>35095675.097498082</v>
      </c>
      <c r="C59" s="779">
        <f t="shared" ref="C59:M59" si="18">$A$59*C57/100</f>
        <v>16875759.672919739</v>
      </c>
      <c r="D59" s="779">
        <f t="shared" si="18"/>
        <v>16875759.672919739</v>
      </c>
      <c r="E59" s="779">
        <f t="shared" si="18"/>
        <v>61877175.674118988</v>
      </c>
      <c r="F59" s="779">
        <f t="shared" si="18"/>
        <v>16875759.672919739</v>
      </c>
      <c r="G59" s="779">
        <f t="shared" si="18"/>
        <v>16875759.672919739</v>
      </c>
      <c r="H59" s="779">
        <f t="shared" si="18"/>
        <v>59114340.91124586</v>
      </c>
      <c r="I59" s="779">
        <f t="shared" si="18"/>
        <v>16875759.672919739</v>
      </c>
      <c r="J59" s="779">
        <f t="shared" si="18"/>
        <v>16875759.672919739</v>
      </c>
      <c r="K59" s="779">
        <f t="shared" si="18"/>
        <v>44014246.933779143</v>
      </c>
      <c r="L59" s="779">
        <f t="shared" si="18"/>
        <v>16875759.672919739</v>
      </c>
      <c r="M59" s="779">
        <f t="shared" si="18"/>
        <v>16875759.672919739</v>
      </c>
      <c r="N59" s="765">
        <f>SUM(B59)</f>
        <v>35095675.097498082</v>
      </c>
    </row>
    <row r="60" spans="1:16" ht="13.5" thickBot="1" x14ac:dyDescent="0.25">
      <c r="A60" s="769">
        <v>0.22500000000000001</v>
      </c>
      <c r="B60" s="784">
        <v>0.22500000000000001</v>
      </c>
      <c r="C60" s="784">
        <v>0.22500000000000001</v>
      </c>
      <c r="D60" s="784">
        <v>0.22500000000000001</v>
      </c>
      <c r="E60" s="784">
        <v>0.22500000000000001</v>
      </c>
      <c r="F60" s="784">
        <v>0.22500000000000001</v>
      </c>
      <c r="G60" s="784">
        <v>0.22500000000000001</v>
      </c>
      <c r="H60" s="784">
        <v>0.22500000000000001</v>
      </c>
      <c r="I60" s="784">
        <v>0.22500000000000001</v>
      </c>
      <c r="J60" s="784">
        <v>0.22500000000000001</v>
      </c>
      <c r="K60" s="784">
        <v>0.22500000000000001</v>
      </c>
      <c r="L60" s="784">
        <v>0.22500000000000001</v>
      </c>
      <c r="M60" s="784">
        <v>0.22500000000000001</v>
      </c>
      <c r="N60" s="765"/>
    </row>
    <row r="61" spans="1:16" ht="13.5" thickBot="1" x14ac:dyDescent="0.25">
      <c r="A61" s="763">
        <f>A59*A60</f>
        <v>75399191.100000009</v>
      </c>
      <c r="B61" s="772">
        <f t="shared" ref="B61:M61" si="19">B59*B60</f>
        <v>7896526.8969370686</v>
      </c>
      <c r="C61" s="772">
        <f t="shared" si="19"/>
        <v>3797045.9264069414</v>
      </c>
      <c r="D61" s="772">
        <f t="shared" si="19"/>
        <v>3797045.9264069414</v>
      </c>
      <c r="E61" s="772">
        <f t="shared" si="19"/>
        <v>13922364.526676772</v>
      </c>
      <c r="F61" s="772">
        <f t="shared" si="19"/>
        <v>3797045.9264069414</v>
      </c>
      <c r="G61" s="772">
        <f t="shared" si="19"/>
        <v>3797045.9264069414</v>
      </c>
      <c r="H61" s="772">
        <f t="shared" si="19"/>
        <v>13300726.705030318</v>
      </c>
      <c r="I61" s="772">
        <f t="shared" si="19"/>
        <v>3797045.9264069414</v>
      </c>
      <c r="J61" s="772">
        <f t="shared" si="19"/>
        <v>3797045.9264069414</v>
      </c>
      <c r="K61" s="772">
        <f t="shared" si="19"/>
        <v>9903205.5601003077</v>
      </c>
      <c r="L61" s="772">
        <f t="shared" si="19"/>
        <v>3797045.9264069414</v>
      </c>
      <c r="M61" s="772">
        <f t="shared" si="19"/>
        <v>3797045.9264069414</v>
      </c>
      <c r="N61" s="765">
        <f>SUM(B61)</f>
        <v>7896526.8969370686</v>
      </c>
    </row>
    <row r="62" spans="1:16" x14ac:dyDescent="0.2">
      <c r="A62" s="773" t="s">
        <v>442</v>
      </c>
      <c r="B62" s="774">
        <v>4226222.54</v>
      </c>
      <c r="C62" s="774">
        <v>3292135.81</v>
      </c>
      <c r="D62" s="774">
        <v>3292135.81</v>
      </c>
      <c r="E62" s="774">
        <v>4973806.68</v>
      </c>
      <c r="F62" s="774">
        <v>3292135.81</v>
      </c>
      <c r="G62" s="774">
        <v>3292135.81</v>
      </c>
      <c r="H62" s="774">
        <v>4182016.54</v>
      </c>
      <c r="I62" s="774">
        <v>3292135.81</v>
      </c>
      <c r="J62" s="774">
        <v>3292135.81</v>
      </c>
      <c r="K62" s="774">
        <v>4360392.78</v>
      </c>
      <c r="L62" s="774">
        <v>3292135.81</v>
      </c>
      <c r="M62" s="774">
        <v>3292135.81</v>
      </c>
    </row>
    <row r="63" spans="1:16" ht="13.5" thickBot="1" x14ac:dyDescent="0.25">
      <c r="A63" s="773" t="s">
        <v>443</v>
      </c>
      <c r="B63" s="774">
        <f>B61-B62</f>
        <v>3670304.3569370685</v>
      </c>
      <c r="C63" s="774">
        <f t="shared" ref="C63:M63" si="20">C61-C62</f>
        <v>504910.11640694132</v>
      </c>
      <c r="D63" s="774">
        <f t="shared" si="20"/>
        <v>504910.11640694132</v>
      </c>
      <c r="E63" s="774">
        <f t="shared" si="20"/>
        <v>8948557.8466767725</v>
      </c>
      <c r="F63" s="774">
        <f t="shared" si="20"/>
        <v>504910.11640694132</v>
      </c>
      <c r="G63" s="774">
        <f t="shared" si="20"/>
        <v>504910.11640694132</v>
      </c>
      <c r="H63" s="774">
        <f t="shared" si="20"/>
        <v>9118710.1650303192</v>
      </c>
      <c r="I63" s="774">
        <f t="shared" si="20"/>
        <v>504910.11640694132</v>
      </c>
      <c r="J63" s="774">
        <f t="shared" si="20"/>
        <v>504910.11640694132</v>
      </c>
      <c r="K63" s="774">
        <f t="shared" si="20"/>
        <v>5542812.7801003074</v>
      </c>
      <c r="L63" s="774">
        <f t="shared" si="20"/>
        <v>504910.11640694132</v>
      </c>
      <c r="M63" s="774">
        <f t="shared" si="20"/>
        <v>504910.11640694132</v>
      </c>
    </row>
    <row r="64" spans="1:16" ht="13.5" thickBot="1" x14ac:dyDescent="0.25">
      <c r="A64" s="775" t="s">
        <v>444</v>
      </c>
      <c r="B64" s="776">
        <f>B62+B63</f>
        <v>7896526.8969370686</v>
      </c>
      <c r="C64" s="776">
        <f t="shared" ref="C64:M64" si="21">C62+C63</f>
        <v>3797045.9264069414</v>
      </c>
      <c r="D64" s="776">
        <f t="shared" si="21"/>
        <v>3797045.9264069414</v>
      </c>
      <c r="E64" s="776">
        <f t="shared" si="21"/>
        <v>13922364.526676772</v>
      </c>
      <c r="F64" s="776">
        <f t="shared" si="21"/>
        <v>3797045.9264069414</v>
      </c>
      <c r="G64" s="776">
        <f t="shared" si="21"/>
        <v>3797045.9264069414</v>
      </c>
      <c r="H64" s="776">
        <f t="shared" si="21"/>
        <v>13300726.705030318</v>
      </c>
      <c r="I64" s="776">
        <f t="shared" si="21"/>
        <v>3797045.9264069414</v>
      </c>
      <c r="J64" s="776">
        <f t="shared" si="21"/>
        <v>3797045.9264069414</v>
      </c>
      <c r="K64" s="776">
        <f t="shared" si="21"/>
        <v>9903205.5601003077</v>
      </c>
      <c r="L64" s="776">
        <f t="shared" si="21"/>
        <v>3797045.9264069414</v>
      </c>
      <c r="M64" s="776">
        <f t="shared" si="21"/>
        <v>3797045.9264069414</v>
      </c>
    </row>
    <row r="65" spans="1:14" x14ac:dyDescent="0.2">
      <c r="A65" s="786"/>
    </row>
    <row r="66" spans="1:14" x14ac:dyDescent="0.2">
      <c r="A66" s="1083" t="s">
        <v>439</v>
      </c>
      <c r="B66" s="1083"/>
      <c r="C66" s="1083"/>
      <c r="D66" s="1083"/>
      <c r="E66" s="1083"/>
      <c r="F66" s="1083"/>
      <c r="G66" s="1083"/>
      <c r="H66" s="1083"/>
      <c r="I66" s="1083"/>
      <c r="J66" s="1083"/>
      <c r="K66" s="1083"/>
      <c r="L66" s="1083"/>
      <c r="M66" s="1083"/>
    </row>
    <row r="67" spans="1:14" x14ac:dyDescent="0.2">
      <c r="A67" s="1082" t="s">
        <v>449</v>
      </c>
      <c r="B67" s="1082"/>
      <c r="C67" s="1082"/>
      <c r="D67" s="1082"/>
      <c r="E67" s="1082"/>
      <c r="F67" s="1082"/>
      <c r="G67" s="1082"/>
      <c r="H67" s="1082"/>
      <c r="I67" s="1082"/>
      <c r="J67" s="1082"/>
      <c r="K67" s="1082"/>
      <c r="L67" s="1082"/>
      <c r="M67" s="1082"/>
    </row>
    <row r="68" spans="1:14" x14ac:dyDescent="0.2">
      <c r="A68" s="759"/>
      <c r="B68" s="760"/>
      <c r="C68" s="760"/>
      <c r="D68" s="760"/>
      <c r="E68" s="760"/>
      <c r="F68" s="760"/>
      <c r="G68" s="760"/>
      <c r="H68" s="760"/>
      <c r="I68" s="760"/>
      <c r="J68" s="760"/>
      <c r="K68" s="760"/>
      <c r="L68" s="760"/>
      <c r="M68" s="760"/>
    </row>
    <row r="69" spans="1:14" ht="13.5" thickBot="1" x14ac:dyDescent="0.25">
      <c r="A69" s="777" t="e">
        <f>SUM(B69:M69)</f>
        <v>#DIV/0!</v>
      </c>
      <c r="B69" s="778" t="e">
        <f>'[6]X22.55 DOF'!B56</f>
        <v>#DIV/0!</v>
      </c>
      <c r="C69" s="778" t="e">
        <f>'[6]X22.55 DOF'!C56</f>
        <v>#DIV/0!</v>
      </c>
      <c r="D69" s="778" t="e">
        <f>'[6]X22.55 DOF'!D56</f>
        <v>#DIV/0!</v>
      </c>
      <c r="E69" s="778" t="e">
        <f>'[6]X22.55 DOF'!E56</f>
        <v>#DIV/0!</v>
      </c>
      <c r="F69" s="778" t="e">
        <f>'[6]X22.55 DOF'!F56</f>
        <v>#DIV/0!</v>
      </c>
      <c r="G69" s="778" t="e">
        <f>'[6]X22.55 DOF'!G56</f>
        <v>#DIV/0!</v>
      </c>
      <c r="H69" s="778" t="e">
        <f>'[6]X22.55 DOF'!H56</f>
        <v>#DIV/0!</v>
      </c>
      <c r="I69" s="778" t="e">
        <f>'[6]X22.55 DOF'!I56</f>
        <v>#DIV/0!</v>
      </c>
      <c r="J69" s="778" t="e">
        <f>'[6]X22.55 DOF'!J56</f>
        <v>#DIV/0!</v>
      </c>
      <c r="K69" s="778" t="e">
        <f>'[6]X22.55 DOF'!K56</f>
        <v>#DIV/0!</v>
      </c>
      <c r="L69" s="778" t="e">
        <f>'[6]X22.55 DOF'!L56</f>
        <v>#DIV/0!</v>
      </c>
      <c r="M69" s="778" t="e">
        <f>'[6]X22.55 DOF'!M56</f>
        <v>#DIV/0!</v>
      </c>
    </row>
    <row r="70" spans="1:14" ht="13.5" thickBot="1" x14ac:dyDescent="0.25">
      <c r="A70" s="761" t="s">
        <v>441</v>
      </c>
      <c r="B70" s="762" t="s">
        <v>1</v>
      </c>
      <c r="C70" s="762" t="s">
        <v>2</v>
      </c>
      <c r="D70" s="762" t="s">
        <v>3</v>
      </c>
      <c r="E70" s="762" t="s">
        <v>4</v>
      </c>
      <c r="F70" s="762" t="s">
        <v>5</v>
      </c>
      <c r="G70" s="762" t="s">
        <v>6</v>
      </c>
      <c r="H70" s="762" t="s">
        <v>7</v>
      </c>
      <c r="I70" s="762" t="s">
        <v>8</v>
      </c>
      <c r="J70" s="762" t="s">
        <v>9</v>
      </c>
      <c r="K70" s="762" t="s">
        <v>10</v>
      </c>
      <c r="L70" s="762" t="s">
        <v>11</v>
      </c>
      <c r="M70" s="762" t="s">
        <v>12</v>
      </c>
    </row>
    <row r="71" spans="1:14" ht="13.5" thickBot="1" x14ac:dyDescent="0.25">
      <c r="A71" s="763">
        <v>427929733</v>
      </c>
      <c r="B71" s="788" t="e">
        <f>$A$71*B69/100</f>
        <v>#DIV/0!</v>
      </c>
      <c r="C71" s="788" t="e">
        <f t="shared" ref="C71:M71" si="22">$A$71*C69/100</f>
        <v>#DIV/0!</v>
      </c>
      <c r="D71" s="788" t="e">
        <f t="shared" si="22"/>
        <v>#DIV/0!</v>
      </c>
      <c r="E71" s="788" t="e">
        <f t="shared" si="22"/>
        <v>#DIV/0!</v>
      </c>
      <c r="F71" s="788" t="e">
        <f t="shared" si="22"/>
        <v>#DIV/0!</v>
      </c>
      <c r="G71" s="788" t="e">
        <f t="shared" si="22"/>
        <v>#DIV/0!</v>
      </c>
      <c r="H71" s="788" t="e">
        <f t="shared" si="22"/>
        <v>#DIV/0!</v>
      </c>
      <c r="I71" s="788" t="e">
        <f t="shared" si="22"/>
        <v>#DIV/0!</v>
      </c>
      <c r="J71" s="788" t="e">
        <f t="shared" si="22"/>
        <v>#DIV/0!</v>
      </c>
      <c r="K71" s="788" t="e">
        <f t="shared" si="22"/>
        <v>#DIV/0!</v>
      </c>
      <c r="L71" s="788" t="e">
        <f t="shared" si="22"/>
        <v>#DIV/0!</v>
      </c>
      <c r="M71" s="788" t="e">
        <f t="shared" si="22"/>
        <v>#DIV/0!</v>
      </c>
      <c r="N71" s="765" t="e">
        <f>SUM(B71)</f>
        <v>#DIV/0!</v>
      </c>
    </row>
    <row r="72" spans="1:14" ht="13.5" thickBot="1" x14ac:dyDescent="0.25">
      <c r="A72" s="769">
        <v>0.22500000000000001</v>
      </c>
      <c r="B72" s="784">
        <v>0.22500000000000001</v>
      </c>
      <c r="C72" s="784">
        <v>0.22500000000000001</v>
      </c>
      <c r="D72" s="784">
        <v>0.22500000000000001</v>
      </c>
      <c r="E72" s="784">
        <v>0.22500000000000001</v>
      </c>
      <c r="F72" s="784">
        <v>0.22500000000000001</v>
      </c>
      <c r="G72" s="784">
        <v>0.22500000000000001</v>
      </c>
      <c r="H72" s="784">
        <v>0.22500000000000001</v>
      </c>
      <c r="I72" s="784">
        <v>0.22500000000000001</v>
      </c>
      <c r="J72" s="784">
        <v>0.22500000000000001</v>
      </c>
      <c r="K72" s="784">
        <v>0.22500000000000001</v>
      </c>
      <c r="L72" s="784">
        <v>0.22500000000000001</v>
      </c>
      <c r="M72" s="784">
        <v>0.22500000000000001</v>
      </c>
      <c r="N72" s="765"/>
    </row>
    <row r="73" spans="1:14" ht="13.5" thickBot="1" x14ac:dyDescent="0.25">
      <c r="A73" s="763">
        <f>A71*A72</f>
        <v>96284189.924999997</v>
      </c>
      <c r="B73" s="772" t="e">
        <f t="shared" ref="B73:H73" si="23">B71*B72</f>
        <v>#DIV/0!</v>
      </c>
      <c r="C73" s="772" t="e">
        <f t="shared" si="23"/>
        <v>#DIV/0!</v>
      </c>
      <c r="D73" s="772" t="e">
        <f t="shared" si="23"/>
        <v>#DIV/0!</v>
      </c>
      <c r="E73" s="772" t="e">
        <f t="shared" si="23"/>
        <v>#DIV/0!</v>
      </c>
      <c r="F73" s="772" t="e">
        <f t="shared" si="23"/>
        <v>#DIV/0!</v>
      </c>
      <c r="G73" s="772" t="e">
        <f t="shared" si="23"/>
        <v>#DIV/0!</v>
      </c>
      <c r="H73" s="772" t="e">
        <f t="shared" si="23"/>
        <v>#DIV/0!</v>
      </c>
      <c r="I73" s="772" t="e">
        <f>I71*I72</f>
        <v>#DIV/0!</v>
      </c>
      <c r="J73" s="772" t="e">
        <f>J71*J72</f>
        <v>#DIV/0!</v>
      </c>
      <c r="K73" s="772" t="e">
        <f>K71*K72</f>
        <v>#DIV/0!</v>
      </c>
      <c r="L73" s="772" t="e">
        <f>L71*L72</f>
        <v>#DIV/0!</v>
      </c>
      <c r="M73" s="772" t="e">
        <f>M71*M72</f>
        <v>#DIV/0!</v>
      </c>
      <c r="N73" s="765" t="e">
        <f>SUM(B73)</f>
        <v>#DIV/0!</v>
      </c>
    </row>
    <row r="74" spans="1:14" x14ac:dyDescent="0.2">
      <c r="A74" s="773" t="s">
        <v>442</v>
      </c>
      <c r="B74" s="774">
        <v>5446599.0750000002</v>
      </c>
      <c r="C74" s="774">
        <v>5480253.6749999998</v>
      </c>
      <c r="D74" s="774">
        <v>6226733.9249999998</v>
      </c>
      <c r="E74" s="774">
        <v>5974230.6000000006</v>
      </c>
      <c r="F74" s="774">
        <v>6376304.9249999998</v>
      </c>
      <c r="G74" s="774">
        <v>6125990.1749999998</v>
      </c>
      <c r="H74" s="774">
        <v>6350749.2000000002</v>
      </c>
      <c r="I74" s="774">
        <v>6303901.5</v>
      </c>
      <c r="J74" s="774">
        <v>6014109.1500000004</v>
      </c>
      <c r="K74" s="774">
        <v>6331110.2999999998</v>
      </c>
      <c r="L74" s="774">
        <v>6097612.2750000004</v>
      </c>
      <c r="M74" s="774">
        <v>4488305.1749999998</v>
      </c>
    </row>
    <row r="75" spans="1:14" ht="13.5" thickBot="1" x14ac:dyDescent="0.25">
      <c r="A75" s="773" t="s">
        <v>443</v>
      </c>
      <c r="B75" s="774" t="e">
        <f>B73-B74</f>
        <v>#DIV/0!</v>
      </c>
      <c r="C75" s="774" t="e">
        <f t="shared" ref="C75:M75" si="24">C73-C74</f>
        <v>#DIV/0!</v>
      </c>
      <c r="D75" s="774" t="e">
        <f t="shared" si="24"/>
        <v>#DIV/0!</v>
      </c>
      <c r="E75" s="774" t="e">
        <f t="shared" si="24"/>
        <v>#DIV/0!</v>
      </c>
      <c r="F75" s="774" t="e">
        <f t="shared" si="24"/>
        <v>#DIV/0!</v>
      </c>
      <c r="G75" s="774" t="e">
        <f t="shared" si="24"/>
        <v>#DIV/0!</v>
      </c>
      <c r="H75" s="774" t="e">
        <f t="shared" si="24"/>
        <v>#DIV/0!</v>
      </c>
      <c r="I75" s="774" t="e">
        <f t="shared" si="24"/>
        <v>#DIV/0!</v>
      </c>
      <c r="J75" s="774" t="e">
        <f t="shared" si="24"/>
        <v>#DIV/0!</v>
      </c>
      <c r="K75" s="774" t="e">
        <f t="shared" si="24"/>
        <v>#DIV/0!</v>
      </c>
      <c r="L75" s="774" t="e">
        <f t="shared" si="24"/>
        <v>#DIV/0!</v>
      </c>
      <c r="M75" s="774" t="e">
        <f t="shared" si="24"/>
        <v>#DIV/0!</v>
      </c>
    </row>
    <row r="76" spans="1:14" ht="13.5" thickBot="1" x14ac:dyDescent="0.25">
      <c r="A76" s="775" t="s">
        <v>444</v>
      </c>
      <c r="B76" s="776" t="e">
        <f>B74+B75</f>
        <v>#DIV/0!</v>
      </c>
      <c r="C76" s="776" t="e">
        <f t="shared" ref="C76:M76" si="25">C74+C75</f>
        <v>#DIV/0!</v>
      </c>
      <c r="D76" s="776" t="e">
        <f t="shared" si="25"/>
        <v>#DIV/0!</v>
      </c>
      <c r="E76" s="776" t="e">
        <f t="shared" si="25"/>
        <v>#DIV/0!</v>
      </c>
      <c r="F76" s="776" t="e">
        <f t="shared" si="25"/>
        <v>#DIV/0!</v>
      </c>
      <c r="G76" s="776" t="e">
        <f t="shared" si="25"/>
        <v>#DIV/0!</v>
      </c>
      <c r="H76" s="776" t="e">
        <f t="shared" si="25"/>
        <v>#DIV/0!</v>
      </c>
      <c r="I76" s="776" t="e">
        <f t="shared" si="25"/>
        <v>#DIV/0!</v>
      </c>
      <c r="J76" s="776" t="e">
        <f t="shared" si="25"/>
        <v>#DIV/0!</v>
      </c>
      <c r="K76" s="776" t="e">
        <f t="shared" si="25"/>
        <v>#DIV/0!</v>
      </c>
      <c r="L76" s="776" t="e">
        <f t="shared" si="25"/>
        <v>#DIV/0!</v>
      </c>
      <c r="M76" s="776" t="e">
        <f t="shared" si="25"/>
        <v>#DIV/0!</v>
      </c>
    </row>
    <row r="77" spans="1:14" x14ac:dyDescent="0.2">
      <c r="A77" s="786"/>
    </row>
    <row r="78" spans="1:14" x14ac:dyDescent="0.2">
      <c r="A78" s="1083" t="s">
        <v>439</v>
      </c>
      <c r="B78" s="1083"/>
      <c r="C78" s="1083"/>
      <c r="D78" s="1083"/>
      <c r="E78" s="1083"/>
      <c r="F78" s="1083"/>
      <c r="G78" s="1083"/>
      <c r="H78" s="1083"/>
      <c r="I78" s="1083"/>
      <c r="J78" s="1083"/>
      <c r="K78" s="1083"/>
      <c r="L78" s="1083"/>
      <c r="M78" s="1083"/>
    </row>
    <row r="79" spans="1:14" x14ac:dyDescent="0.2">
      <c r="A79" s="1082" t="s">
        <v>450</v>
      </c>
      <c r="B79" s="1082"/>
      <c r="C79" s="1082"/>
      <c r="D79" s="1082"/>
      <c r="E79" s="1082"/>
      <c r="F79" s="1082"/>
      <c r="G79" s="1082"/>
      <c r="H79" s="1082"/>
      <c r="I79" s="1082"/>
      <c r="J79" s="1082"/>
      <c r="K79" s="1082"/>
      <c r="L79" s="1082"/>
      <c r="M79" s="1082"/>
    </row>
    <row r="80" spans="1:14" x14ac:dyDescent="0.2">
      <c r="A80" s="759"/>
      <c r="B80" s="760"/>
      <c r="C80" s="760"/>
      <c r="D80" s="760"/>
      <c r="E80" s="760"/>
      <c r="F80" s="760"/>
      <c r="G80" s="760"/>
      <c r="H80" s="760"/>
      <c r="I80" s="760"/>
      <c r="J80" s="760"/>
      <c r="K80" s="760"/>
      <c r="L80" s="760"/>
      <c r="M80" s="760"/>
    </row>
    <row r="81" spans="1:14" ht="13.5" thickBot="1" x14ac:dyDescent="0.25">
      <c r="A81" s="777">
        <f>SUM(B81:M81)</f>
        <v>100</v>
      </c>
      <c r="B81" s="778">
        <f>'[6]X22.55 DOF'!B65</f>
        <v>14.102008691735502</v>
      </c>
      <c r="C81" s="778">
        <f>'[6]X22.55 DOF'!C65</f>
        <v>8.2524686576746529</v>
      </c>
      <c r="D81" s="778">
        <f>'[6]X22.55 DOF'!D65</f>
        <v>6.4404026241050545</v>
      </c>
      <c r="E81" s="778">
        <f>'[6]X22.55 DOF'!E65</f>
        <v>6.250286614940916</v>
      </c>
      <c r="F81" s="778">
        <f>'[6]X22.55 DOF'!F65</f>
        <v>7.0905120560452355</v>
      </c>
      <c r="G81" s="778">
        <f>'[6]X22.55 DOF'!G65</f>
        <v>6.3951999143139107</v>
      </c>
      <c r="H81" s="778">
        <f>'[6]X22.55 DOF'!H65</f>
        <v>7.3736876176691748</v>
      </c>
      <c r="I81" s="778">
        <f>'[6]X22.55 DOF'!I65</f>
        <v>8.0078447687198029</v>
      </c>
      <c r="J81" s="778">
        <f>'[6]X22.55 DOF'!J65</f>
        <v>8.2803880939054206</v>
      </c>
      <c r="K81" s="778">
        <f>'[6]X22.55 DOF'!K65</f>
        <v>8.907894207833996</v>
      </c>
      <c r="L81" s="778">
        <f>'[6]X22.55 DOF'!L65</f>
        <v>8.8879528751640375</v>
      </c>
      <c r="M81" s="778">
        <f>'[6]X22.55 DOF'!M65</f>
        <v>10.011353877892299</v>
      </c>
    </row>
    <row r="82" spans="1:14" ht="13.5" thickBot="1" x14ac:dyDescent="0.25">
      <c r="A82" s="761" t="s">
        <v>441</v>
      </c>
      <c r="B82" s="762" t="s">
        <v>1</v>
      </c>
      <c r="C82" s="762" t="s">
        <v>2</v>
      </c>
      <c r="D82" s="762" t="s">
        <v>3</v>
      </c>
      <c r="E82" s="762" t="s">
        <v>4</v>
      </c>
      <c r="F82" s="762" t="s">
        <v>5</v>
      </c>
      <c r="G82" s="762" t="s">
        <v>6</v>
      </c>
      <c r="H82" s="762" t="s">
        <v>7</v>
      </c>
      <c r="I82" s="762" t="s">
        <v>8</v>
      </c>
      <c r="J82" s="762" t="s">
        <v>9</v>
      </c>
      <c r="K82" s="762" t="s">
        <v>10</v>
      </c>
      <c r="L82" s="762" t="s">
        <v>11</v>
      </c>
      <c r="M82" s="762" t="s">
        <v>12</v>
      </c>
    </row>
    <row r="83" spans="1:14" ht="13.5" thickBot="1" x14ac:dyDescent="0.25">
      <c r="A83" s="763">
        <v>25469713</v>
      </c>
      <c r="B83" s="789">
        <f>$A$83*B81/100</f>
        <v>3591741.1410200871</v>
      </c>
      <c r="C83" s="789">
        <f t="shared" ref="C83:M83" si="26">$A$83*C81/100</f>
        <v>2101880.0825246866</v>
      </c>
      <c r="D83" s="789">
        <f t="shared" si="26"/>
        <v>1640352.0644040264</v>
      </c>
      <c r="E83" s="789">
        <f t="shared" si="26"/>
        <v>1591930.0625028664</v>
      </c>
      <c r="F83" s="789">
        <f t="shared" si="26"/>
        <v>1805933.0709051206</v>
      </c>
      <c r="G83" s="789">
        <f t="shared" si="26"/>
        <v>1628839.0639519989</v>
      </c>
      <c r="H83" s="789">
        <f t="shared" si="26"/>
        <v>1878057.0737368762</v>
      </c>
      <c r="I83" s="789">
        <f t="shared" si="26"/>
        <v>2039575.0800784475</v>
      </c>
      <c r="J83" s="789">
        <f t="shared" si="26"/>
        <v>2108991.0828038813</v>
      </c>
      <c r="K83" s="789">
        <f t="shared" si="26"/>
        <v>2268815.0890789423</v>
      </c>
      <c r="L83" s="789">
        <f t="shared" si="26"/>
        <v>2263736.0888795285</v>
      </c>
      <c r="M83" s="789">
        <f t="shared" si="26"/>
        <v>2549863.100113539</v>
      </c>
      <c r="N83" s="667">
        <f>SUM(B83)</f>
        <v>3591741.1410200871</v>
      </c>
    </row>
    <row r="84" spans="1:14" ht="13.5" thickBot="1" x14ac:dyDescent="0.25">
      <c r="A84" s="769">
        <v>0.22500000000000001</v>
      </c>
      <c r="B84" s="784">
        <v>0.22500000000000001</v>
      </c>
      <c r="C84" s="784">
        <v>0.22500000000000001</v>
      </c>
      <c r="D84" s="784">
        <v>0.22500000000000001</v>
      </c>
      <c r="E84" s="784">
        <v>0.22500000000000001</v>
      </c>
      <c r="F84" s="784">
        <v>0.22500000000000001</v>
      </c>
      <c r="G84" s="784">
        <v>0.22500000000000001</v>
      </c>
      <c r="H84" s="784">
        <v>0.22500000000000001</v>
      </c>
      <c r="I84" s="784">
        <v>0.22500000000000001</v>
      </c>
      <c r="J84" s="784">
        <v>0.22500000000000001</v>
      </c>
      <c r="K84" s="784">
        <v>0.22500000000000001</v>
      </c>
      <c r="L84" s="784">
        <v>0.22500000000000001</v>
      </c>
      <c r="M84" s="784">
        <v>0.22500000000000001</v>
      </c>
      <c r="N84" s="667"/>
    </row>
    <row r="85" spans="1:14" ht="13.5" thickBot="1" x14ac:dyDescent="0.25">
      <c r="A85" s="763">
        <f t="shared" ref="A85:M85" si="27">A83*A84</f>
        <v>5730685.4249999998</v>
      </c>
      <c r="B85" s="772">
        <f t="shared" si="27"/>
        <v>808141.75672951958</v>
      </c>
      <c r="C85" s="772">
        <f t="shared" si="27"/>
        <v>472923.01856805448</v>
      </c>
      <c r="D85" s="772">
        <f t="shared" si="27"/>
        <v>369079.21449090593</v>
      </c>
      <c r="E85" s="772">
        <f t="shared" si="27"/>
        <v>358184.26406314492</v>
      </c>
      <c r="F85" s="772">
        <f t="shared" si="27"/>
        <v>406334.94095365214</v>
      </c>
      <c r="G85" s="772">
        <f t="shared" si="27"/>
        <v>366488.78938919975</v>
      </c>
      <c r="H85" s="772">
        <f t="shared" si="27"/>
        <v>422562.84159079718</v>
      </c>
      <c r="I85" s="772">
        <f t="shared" si="27"/>
        <v>458904.3930176507</v>
      </c>
      <c r="J85" s="772">
        <f t="shared" si="27"/>
        <v>474522.99363087327</v>
      </c>
      <c r="K85" s="772">
        <f t="shared" si="27"/>
        <v>510483.39504276204</v>
      </c>
      <c r="L85" s="772">
        <f t="shared" si="27"/>
        <v>509340.61999789393</v>
      </c>
      <c r="M85" s="772">
        <f t="shared" si="27"/>
        <v>573719.1975255463</v>
      </c>
      <c r="N85" s="667">
        <f>SUM(B85)</f>
        <v>808141.75672951958</v>
      </c>
    </row>
    <row r="86" spans="1:14" x14ac:dyDescent="0.2">
      <c r="A86" s="773" t="s">
        <v>442</v>
      </c>
      <c r="B86" s="774">
        <v>630182.47499999998</v>
      </c>
      <c r="C86" s="774">
        <v>453572.32500000001</v>
      </c>
      <c r="D86" s="774">
        <v>421343.77500000002</v>
      </c>
      <c r="E86" s="774">
        <v>466421.4</v>
      </c>
      <c r="F86" s="774">
        <v>407954.92499999999</v>
      </c>
      <c r="G86" s="774">
        <v>436274.32500000001</v>
      </c>
      <c r="H86" s="774">
        <v>435245.4</v>
      </c>
      <c r="I86" s="774">
        <v>416192.625</v>
      </c>
      <c r="J86" s="774">
        <v>432105.07500000001</v>
      </c>
      <c r="K86" s="774">
        <v>412083.67499999999</v>
      </c>
      <c r="L86" s="774">
        <v>462016.125</v>
      </c>
      <c r="M86" s="774">
        <v>503765.77500000002</v>
      </c>
      <c r="N86" s="667"/>
    </row>
    <row r="87" spans="1:14" ht="13.5" thickBot="1" x14ac:dyDescent="0.25">
      <c r="A87" s="773" t="s">
        <v>443</v>
      </c>
      <c r="B87" s="774">
        <f>B85-B86</f>
        <v>177959.2817295196</v>
      </c>
      <c r="C87" s="774">
        <f t="shared" ref="C87:M87" si="28">C85-C86</f>
        <v>19350.69356805447</v>
      </c>
      <c r="D87" s="774">
        <f t="shared" si="28"/>
        <v>-52264.560509094095</v>
      </c>
      <c r="E87" s="774">
        <f t="shared" si="28"/>
        <v>-108237.13593685511</v>
      </c>
      <c r="F87" s="774">
        <f t="shared" si="28"/>
        <v>-1619.9840463478467</v>
      </c>
      <c r="G87" s="774">
        <f t="shared" si="28"/>
        <v>-69785.53561080026</v>
      </c>
      <c r="H87" s="774">
        <f t="shared" si="28"/>
        <v>-12682.558409202844</v>
      </c>
      <c r="I87" s="774">
        <f t="shared" si="28"/>
        <v>42711.768017650698</v>
      </c>
      <c r="J87" s="774">
        <f t="shared" si="28"/>
        <v>42417.918630873261</v>
      </c>
      <c r="K87" s="774">
        <f t="shared" si="28"/>
        <v>98399.720042762056</v>
      </c>
      <c r="L87" s="774">
        <f t="shared" si="28"/>
        <v>47324.494997893926</v>
      </c>
      <c r="M87" s="774">
        <f t="shared" si="28"/>
        <v>69953.422525546281</v>
      </c>
    </row>
    <row r="88" spans="1:14" ht="13.5" thickBot="1" x14ac:dyDescent="0.25">
      <c r="A88" s="775" t="s">
        <v>444</v>
      </c>
      <c r="B88" s="776">
        <f>B86+B87</f>
        <v>808141.75672951958</v>
      </c>
      <c r="C88" s="776">
        <f t="shared" ref="C88:M88" si="29">C86+C87</f>
        <v>472923.01856805448</v>
      </c>
      <c r="D88" s="776">
        <f t="shared" si="29"/>
        <v>369079.21449090593</v>
      </c>
      <c r="E88" s="776">
        <f t="shared" si="29"/>
        <v>358184.26406314492</v>
      </c>
      <c r="F88" s="776">
        <f t="shared" si="29"/>
        <v>406334.94095365214</v>
      </c>
      <c r="G88" s="776">
        <f t="shared" si="29"/>
        <v>366488.78938919975</v>
      </c>
      <c r="H88" s="776">
        <f t="shared" si="29"/>
        <v>422562.84159079718</v>
      </c>
      <c r="I88" s="776">
        <f t="shared" si="29"/>
        <v>458904.3930176507</v>
      </c>
      <c r="J88" s="776">
        <f t="shared" si="29"/>
        <v>474522.99363087327</v>
      </c>
      <c r="K88" s="776">
        <f t="shared" si="29"/>
        <v>510483.39504276204</v>
      </c>
      <c r="L88" s="776">
        <f t="shared" si="29"/>
        <v>509340.61999789393</v>
      </c>
      <c r="M88" s="776">
        <f t="shared" si="29"/>
        <v>573719.1975255463</v>
      </c>
    </row>
    <row r="89" spans="1:14" x14ac:dyDescent="0.2">
      <c r="A89" s="786"/>
    </row>
    <row r="90" spans="1:14" x14ac:dyDescent="0.2">
      <c r="A90" s="1083" t="s">
        <v>439</v>
      </c>
      <c r="B90" s="1083"/>
      <c r="C90" s="1083"/>
      <c r="D90" s="1083"/>
      <c r="E90" s="1083"/>
      <c r="F90" s="1083"/>
      <c r="G90" s="1083"/>
      <c r="H90" s="1083"/>
      <c r="I90" s="1083"/>
      <c r="J90" s="1083"/>
      <c r="K90" s="1083"/>
      <c r="L90" s="1083"/>
      <c r="M90" s="1083"/>
    </row>
    <row r="91" spans="1:14" x14ac:dyDescent="0.2">
      <c r="A91" s="1082" t="s">
        <v>451</v>
      </c>
      <c r="B91" s="1082"/>
      <c r="C91" s="1082"/>
      <c r="D91" s="1082"/>
      <c r="E91" s="1082"/>
      <c r="F91" s="1082"/>
      <c r="G91" s="1082"/>
      <c r="H91" s="1082"/>
      <c r="I91" s="1082"/>
      <c r="J91" s="1082"/>
      <c r="K91" s="1082"/>
      <c r="L91" s="1082"/>
      <c r="M91" s="1082"/>
    </row>
    <row r="92" spans="1:14" x14ac:dyDescent="0.2">
      <c r="A92" s="790"/>
      <c r="B92" s="760"/>
      <c r="C92" s="760"/>
      <c r="D92" s="760"/>
      <c r="E92" s="760"/>
      <c r="F92" s="760"/>
      <c r="G92" s="760"/>
      <c r="H92" s="760"/>
      <c r="I92" s="760"/>
      <c r="J92" s="760"/>
      <c r="K92" s="760"/>
      <c r="L92" s="760"/>
      <c r="M92" s="760"/>
    </row>
    <row r="93" spans="1:14" ht="13.5" thickBot="1" x14ac:dyDescent="0.25">
      <c r="A93" s="778">
        <f>SUM(B93:M93)</f>
        <v>99.999999999999957</v>
      </c>
      <c r="B93" s="778">
        <f>'[6]X22.55 DOF'!B74</f>
        <v>8.3333333333333321</v>
      </c>
      <c r="C93" s="778">
        <f>'[6]X22.55 DOF'!C74</f>
        <v>8.3333333333333321</v>
      </c>
      <c r="D93" s="778">
        <f>'[6]X22.55 DOF'!D74</f>
        <v>8.3333333333333321</v>
      </c>
      <c r="E93" s="778">
        <f>'[6]X22.55 DOF'!E74</f>
        <v>8.3333333333333321</v>
      </c>
      <c r="F93" s="778">
        <f>'[6]X22.55 DOF'!F74</f>
        <v>8.3333333333333321</v>
      </c>
      <c r="G93" s="778">
        <f>'[6]X22.55 DOF'!G74</f>
        <v>8.3333333333333321</v>
      </c>
      <c r="H93" s="778">
        <f>'[6]X22.55 DOF'!H74</f>
        <v>8.3333333333333321</v>
      </c>
      <c r="I93" s="778">
        <f>'[6]X22.55 DOF'!I74</f>
        <v>8.3333333333333321</v>
      </c>
      <c r="J93" s="778">
        <f>'[6]X22.55 DOF'!J74</f>
        <v>8.3333333333333321</v>
      </c>
      <c r="K93" s="778">
        <f>'[6]X22.55 DOF'!K74</f>
        <v>8.3333333333333321</v>
      </c>
      <c r="L93" s="778">
        <f>'[6]X22.55 DOF'!L74</f>
        <v>8.3333333333333321</v>
      </c>
      <c r="M93" s="778">
        <f>'[6]X22.55 DOF'!M74</f>
        <v>8.3333333333333321</v>
      </c>
    </row>
    <row r="94" spans="1:14" ht="13.5" thickBot="1" x14ac:dyDescent="0.25">
      <c r="A94" s="762" t="s">
        <v>441</v>
      </c>
      <c r="B94" s="762" t="s">
        <v>1</v>
      </c>
      <c r="C94" s="762" t="s">
        <v>2</v>
      </c>
      <c r="D94" s="762" t="s">
        <v>3</v>
      </c>
      <c r="E94" s="762" t="s">
        <v>4</v>
      </c>
      <c r="F94" s="762" t="s">
        <v>5</v>
      </c>
      <c r="G94" s="762" t="s">
        <v>6</v>
      </c>
      <c r="H94" s="762" t="s">
        <v>7</v>
      </c>
      <c r="I94" s="762" t="s">
        <v>8</v>
      </c>
      <c r="J94" s="762" t="s">
        <v>9</v>
      </c>
      <c r="K94" s="762" t="s">
        <v>10</v>
      </c>
      <c r="L94" s="762" t="s">
        <v>11</v>
      </c>
      <c r="M94" s="762" t="s">
        <v>12</v>
      </c>
    </row>
    <row r="95" spans="1:14" ht="13.5" thickBot="1" x14ac:dyDescent="0.25">
      <c r="A95" s="772">
        <v>11005225</v>
      </c>
      <c r="B95" s="789">
        <f>$A$95*B93/100</f>
        <v>917102.08333333314</v>
      </c>
      <c r="C95" s="789">
        <f t="shared" ref="C95:M95" si="30">$A$95*C93/100</f>
        <v>917102.08333333314</v>
      </c>
      <c r="D95" s="789">
        <f t="shared" si="30"/>
        <v>917102.08333333314</v>
      </c>
      <c r="E95" s="789">
        <f t="shared" si="30"/>
        <v>917102.08333333314</v>
      </c>
      <c r="F95" s="789">
        <f t="shared" si="30"/>
        <v>917102.08333333314</v>
      </c>
      <c r="G95" s="789">
        <f t="shared" si="30"/>
        <v>917102.08333333314</v>
      </c>
      <c r="H95" s="789">
        <f t="shared" si="30"/>
        <v>917102.08333333314</v>
      </c>
      <c r="I95" s="789">
        <f t="shared" si="30"/>
        <v>917102.08333333314</v>
      </c>
      <c r="J95" s="789">
        <f t="shared" si="30"/>
        <v>917102.08333333314</v>
      </c>
      <c r="K95" s="789">
        <f t="shared" si="30"/>
        <v>917102.08333333314</v>
      </c>
      <c r="L95" s="789">
        <f t="shared" si="30"/>
        <v>917102.08333333314</v>
      </c>
      <c r="M95" s="789">
        <f t="shared" si="30"/>
        <v>917102.08333333314</v>
      </c>
      <c r="N95" s="667">
        <f>SUM(B95)</f>
        <v>917102.08333333314</v>
      </c>
    </row>
    <row r="96" spans="1:14" ht="13.5" thickBot="1" x14ac:dyDescent="0.25">
      <c r="A96" s="784">
        <v>0.22500000000000001</v>
      </c>
      <c r="B96" s="784">
        <v>0.22500000000000001</v>
      </c>
      <c r="C96" s="784">
        <v>0.22500000000000001</v>
      </c>
      <c r="D96" s="784">
        <v>0.22500000000000001</v>
      </c>
      <c r="E96" s="784">
        <v>0.22500000000000001</v>
      </c>
      <c r="F96" s="784">
        <v>0.22500000000000001</v>
      </c>
      <c r="G96" s="784">
        <v>0.22500000000000001</v>
      </c>
      <c r="H96" s="784">
        <v>0.22500000000000001</v>
      </c>
      <c r="I96" s="784">
        <v>0.22500000000000001</v>
      </c>
      <c r="J96" s="784">
        <v>0.22500000000000001</v>
      </c>
      <c r="K96" s="784">
        <v>0.22500000000000001</v>
      </c>
      <c r="L96" s="784">
        <v>0.22500000000000001</v>
      </c>
      <c r="M96" s="784">
        <v>0.22500000000000001</v>
      </c>
      <c r="N96" s="667"/>
    </row>
    <row r="97" spans="1:16" ht="13.5" thickBot="1" x14ac:dyDescent="0.25">
      <c r="A97" s="772">
        <f t="shared" ref="A97:M97" si="31">A95*A96</f>
        <v>2476175.625</v>
      </c>
      <c r="B97" s="772">
        <f t="shared" si="31"/>
        <v>206347.96874999997</v>
      </c>
      <c r="C97" s="772">
        <f t="shared" si="31"/>
        <v>206347.96874999997</v>
      </c>
      <c r="D97" s="772">
        <f t="shared" si="31"/>
        <v>206347.96874999997</v>
      </c>
      <c r="E97" s="772">
        <f t="shared" si="31"/>
        <v>206347.96874999997</v>
      </c>
      <c r="F97" s="772">
        <f t="shared" si="31"/>
        <v>206347.96874999997</v>
      </c>
      <c r="G97" s="772">
        <f t="shared" si="31"/>
        <v>206347.96874999997</v>
      </c>
      <c r="H97" s="772">
        <f t="shared" si="31"/>
        <v>206347.96874999997</v>
      </c>
      <c r="I97" s="772">
        <f t="shared" si="31"/>
        <v>206347.96874999997</v>
      </c>
      <c r="J97" s="772">
        <f t="shared" si="31"/>
        <v>206347.96874999997</v>
      </c>
      <c r="K97" s="772">
        <f t="shared" si="31"/>
        <v>206347.96874999997</v>
      </c>
      <c r="L97" s="772">
        <f t="shared" si="31"/>
        <v>206347.96874999997</v>
      </c>
      <c r="M97" s="772">
        <f t="shared" si="31"/>
        <v>206347.96874999997</v>
      </c>
      <c r="N97" s="667">
        <f>SUM(B97)</f>
        <v>206347.96874999997</v>
      </c>
    </row>
    <row r="98" spans="1:16" x14ac:dyDescent="0.2">
      <c r="A98" s="774" t="s">
        <v>442</v>
      </c>
      <c r="B98" s="774">
        <v>157893.75</v>
      </c>
      <c r="C98" s="774">
        <v>157893.75</v>
      </c>
      <c r="D98" s="774">
        <v>157893.75</v>
      </c>
      <c r="E98" s="774">
        <v>157893.75</v>
      </c>
      <c r="F98" s="774">
        <v>157893.75</v>
      </c>
      <c r="G98" s="774">
        <v>157893.75</v>
      </c>
      <c r="H98" s="774">
        <v>157893.75</v>
      </c>
      <c r="I98" s="774">
        <v>157893.75</v>
      </c>
      <c r="J98" s="774">
        <v>157893.75</v>
      </c>
      <c r="K98" s="774">
        <v>157893.75</v>
      </c>
      <c r="L98" s="774">
        <v>157893.75</v>
      </c>
      <c r="M98" s="774">
        <v>157894.875</v>
      </c>
    </row>
    <row r="99" spans="1:16" ht="13.5" thickBot="1" x14ac:dyDescent="0.25">
      <c r="A99" s="774" t="s">
        <v>443</v>
      </c>
      <c r="B99" s="774">
        <f>B97-B98</f>
        <v>48454.218749999971</v>
      </c>
      <c r="C99" s="774">
        <f t="shared" ref="C99:M99" si="32">C97-C98</f>
        <v>48454.218749999971</v>
      </c>
      <c r="D99" s="774">
        <f t="shared" si="32"/>
        <v>48454.218749999971</v>
      </c>
      <c r="E99" s="774">
        <f t="shared" si="32"/>
        <v>48454.218749999971</v>
      </c>
      <c r="F99" s="774">
        <f t="shared" si="32"/>
        <v>48454.218749999971</v>
      </c>
      <c r="G99" s="774">
        <f t="shared" si="32"/>
        <v>48454.218749999971</v>
      </c>
      <c r="H99" s="774">
        <f t="shared" si="32"/>
        <v>48454.218749999971</v>
      </c>
      <c r="I99" s="774">
        <f t="shared" si="32"/>
        <v>48454.218749999971</v>
      </c>
      <c r="J99" s="774">
        <f t="shared" si="32"/>
        <v>48454.218749999971</v>
      </c>
      <c r="K99" s="774">
        <f t="shared" si="32"/>
        <v>48454.218749999971</v>
      </c>
      <c r="L99" s="774">
        <f t="shared" si="32"/>
        <v>48454.218749999971</v>
      </c>
      <c r="M99" s="774">
        <f t="shared" si="32"/>
        <v>48453.093749999971</v>
      </c>
    </row>
    <row r="100" spans="1:16" ht="13.5" thickBot="1" x14ac:dyDescent="0.25">
      <c r="A100" s="791" t="s">
        <v>444</v>
      </c>
      <c r="B100" s="776">
        <f>B98+B99</f>
        <v>206347.96874999997</v>
      </c>
      <c r="C100" s="776">
        <f t="shared" ref="C100:M100" si="33">C98+C99</f>
        <v>206347.96874999997</v>
      </c>
      <c r="D100" s="776">
        <f t="shared" si="33"/>
        <v>206347.96874999997</v>
      </c>
      <c r="E100" s="776">
        <f t="shared" si="33"/>
        <v>206347.96874999997</v>
      </c>
      <c r="F100" s="776">
        <f t="shared" si="33"/>
        <v>206347.96874999997</v>
      </c>
      <c r="G100" s="776">
        <f t="shared" si="33"/>
        <v>206347.96874999997</v>
      </c>
      <c r="H100" s="776">
        <f t="shared" si="33"/>
        <v>206347.96874999997</v>
      </c>
      <c r="I100" s="776">
        <f t="shared" si="33"/>
        <v>206347.96874999997</v>
      </c>
      <c r="J100" s="776">
        <f t="shared" si="33"/>
        <v>206347.96874999997</v>
      </c>
      <c r="K100" s="776">
        <f t="shared" si="33"/>
        <v>206347.96874999997</v>
      </c>
      <c r="L100" s="776">
        <f t="shared" si="33"/>
        <v>206347.96874999997</v>
      </c>
      <c r="M100" s="776">
        <f t="shared" si="33"/>
        <v>206347.96874999997</v>
      </c>
    </row>
    <row r="101" spans="1:16" x14ac:dyDescent="0.2">
      <c r="A101" s="1084"/>
      <c r="B101" s="1084"/>
      <c r="C101" s="1084"/>
      <c r="D101" s="1084"/>
      <c r="E101" s="1084"/>
      <c r="F101" s="1084"/>
      <c r="G101" s="1084"/>
      <c r="H101" s="1084"/>
      <c r="I101" s="1084"/>
      <c r="J101" s="1084"/>
      <c r="K101" s="1084"/>
      <c r="L101" s="1084"/>
      <c r="M101" s="1084"/>
    </row>
    <row r="102" spans="1:16" x14ac:dyDescent="0.2">
      <c r="A102" s="792"/>
      <c r="B102" s="792"/>
      <c r="C102" s="792"/>
      <c r="D102" s="792"/>
      <c r="E102" s="792"/>
      <c r="F102" s="792"/>
      <c r="G102" s="792"/>
      <c r="H102" s="792"/>
      <c r="I102" s="792"/>
      <c r="J102" s="792"/>
      <c r="K102" s="792"/>
      <c r="L102" s="792"/>
      <c r="M102" s="792"/>
    </row>
    <row r="103" spans="1:16" x14ac:dyDescent="0.2">
      <c r="A103" s="1083" t="s">
        <v>439</v>
      </c>
      <c r="B103" s="1083"/>
      <c r="C103" s="1083"/>
      <c r="D103" s="1083"/>
      <c r="E103" s="1083"/>
      <c r="F103" s="1083"/>
      <c r="G103" s="1083"/>
      <c r="H103" s="1083"/>
      <c r="I103" s="1083"/>
      <c r="J103" s="1083"/>
      <c r="K103" s="1083"/>
      <c r="L103" s="1083"/>
      <c r="M103" s="1083"/>
    </row>
    <row r="104" spans="1:16" x14ac:dyDescent="0.2">
      <c r="A104" s="1082" t="s">
        <v>452</v>
      </c>
      <c r="B104" s="1082"/>
      <c r="C104" s="1082"/>
      <c r="D104" s="1082"/>
      <c r="E104" s="1082"/>
      <c r="F104" s="1082"/>
      <c r="G104" s="1082"/>
      <c r="H104" s="1082"/>
      <c r="I104" s="1082"/>
      <c r="J104" s="1082"/>
      <c r="K104" s="1082"/>
      <c r="L104" s="1082"/>
      <c r="M104" s="1082"/>
    </row>
    <row r="105" spans="1:16" x14ac:dyDescent="0.2">
      <c r="A105" s="759"/>
      <c r="B105" s="760"/>
      <c r="C105" s="760"/>
      <c r="D105" s="760"/>
      <c r="E105" s="760"/>
      <c r="F105" s="760"/>
      <c r="G105" s="760"/>
      <c r="H105" s="760"/>
      <c r="I105" s="760"/>
      <c r="J105" s="760"/>
      <c r="K105" s="760"/>
      <c r="L105" s="760"/>
      <c r="M105" s="760"/>
    </row>
    <row r="106" spans="1:16" ht="13.5" thickBot="1" x14ac:dyDescent="0.25">
      <c r="A106" s="777">
        <f>SUM(B106:M106)</f>
        <v>99.999999999999986</v>
      </c>
      <c r="B106" s="778">
        <v>11.4799775639842</v>
      </c>
      <c r="C106" s="778">
        <v>8.2205002016884894</v>
      </c>
      <c r="D106" s="778">
        <v>7.6271264178392419</v>
      </c>
      <c r="E106" s="778">
        <v>8.4486521507363079</v>
      </c>
      <c r="F106" s="778">
        <v>7.3950324295005618</v>
      </c>
      <c r="G106" s="778">
        <v>7.9243134782395881</v>
      </c>
      <c r="H106" s="778">
        <v>7.9660192259226603</v>
      </c>
      <c r="I106" s="778">
        <v>7.685023390092109</v>
      </c>
      <c r="J106" s="778">
        <v>7.9626149171669605</v>
      </c>
      <c r="K106" s="778">
        <v>7.5835623366890621</v>
      </c>
      <c r="L106" s="778">
        <v>8.5190988047436367</v>
      </c>
      <c r="M106" s="778">
        <v>9.1880790833971826</v>
      </c>
    </row>
    <row r="107" spans="1:16" ht="13.5" thickBot="1" x14ac:dyDescent="0.25">
      <c r="A107" s="761" t="s">
        <v>441</v>
      </c>
      <c r="B107" s="762" t="s">
        <v>1</v>
      </c>
      <c r="C107" s="762" t="s">
        <v>2</v>
      </c>
      <c r="D107" s="762" t="s">
        <v>3</v>
      </c>
      <c r="E107" s="762" t="s">
        <v>4</v>
      </c>
      <c r="F107" s="762" t="s">
        <v>5</v>
      </c>
      <c r="G107" s="762" t="s">
        <v>6</v>
      </c>
      <c r="H107" s="762" t="s">
        <v>7</v>
      </c>
      <c r="I107" s="762" t="s">
        <v>8</v>
      </c>
      <c r="J107" s="762" t="s">
        <v>9</v>
      </c>
      <c r="K107" s="762" t="s">
        <v>10</v>
      </c>
      <c r="L107" s="762" t="s">
        <v>11</v>
      </c>
      <c r="M107" s="762" t="s">
        <v>12</v>
      </c>
    </row>
    <row r="108" spans="1:16" ht="13.5" thickBot="1" x14ac:dyDescent="0.25">
      <c r="A108" s="763">
        <f>A83+A95</f>
        <v>36474938</v>
      </c>
      <c r="B108" s="789">
        <f>B83+B95</f>
        <v>4508843.2243534205</v>
      </c>
      <c r="C108" s="789">
        <f t="shared" ref="C108:M108" si="34">C83+C95</f>
        <v>3018982.1658580196</v>
      </c>
      <c r="D108" s="789">
        <f t="shared" si="34"/>
        <v>2557454.1477373596</v>
      </c>
      <c r="E108" s="789">
        <f t="shared" si="34"/>
        <v>2509032.1458361996</v>
      </c>
      <c r="F108" s="789">
        <f t="shared" si="34"/>
        <v>2723035.1542384536</v>
      </c>
      <c r="G108" s="789">
        <f t="shared" si="34"/>
        <v>2545941.147285332</v>
      </c>
      <c r="H108" s="789">
        <f t="shared" si="34"/>
        <v>2795159.1570702093</v>
      </c>
      <c r="I108" s="789">
        <f t="shared" si="34"/>
        <v>2956677.1634117807</v>
      </c>
      <c r="J108" s="789">
        <f t="shared" si="34"/>
        <v>3026093.1661372143</v>
      </c>
      <c r="K108" s="789">
        <f t="shared" si="34"/>
        <v>3185917.1724122753</v>
      </c>
      <c r="L108" s="789">
        <f t="shared" si="34"/>
        <v>3180838.1722128615</v>
      </c>
      <c r="M108" s="789">
        <f t="shared" si="34"/>
        <v>3466965.183446872</v>
      </c>
      <c r="N108" s="765">
        <f>SUM(B108)</f>
        <v>4508843.2243534205</v>
      </c>
      <c r="P108" s="667"/>
    </row>
    <row r="109" spans="1:16" ht="13.5" thickBot="1" x14ac:dyDescent="0.25">
      <c r="A109" s="769">
        <v>0.22500000000000001</v>
      </c>
      <c r="B109" s="784">
        <v>0.22500000000000001</v>
      </c>
      <c r="C109" s="784">
        <v>0.22500000000000001</v>
      </c>
      <c r="D109" s="784">
        <v>0.22500000000000001</v>
      </c>
      <c r="E109" s="784">
        <v>0.22500000000000001</v>
      </c>
      <c r="F109" s="784">
        <v>0.22500000000000001</v>
      </c>
      <c r="G109" s="784">
        <v>0.22500000000000001</v>
      </c>
      <c r="H109" s="784">
        <v>0.22500000000000001</v>
      </c>
      <c r="I109" s="784">
        <v>0.22500000000000001</v>
      </c>
      <c r="J109" s="784">
        <v>0.22500000000000001</v>
      </c>
      <c r="K109" s="784">
        <v>0.22500000000000001</v>
      </c>
      <c r="L109" s="784">
        <v>0.22500000000000001</v>
      </c>
      <c r="M109" s="784">
        <v>0.22500000000000001</v>
      </c>
      <c r="N109" s="765"/>
      <c r="P109" s="667"/>
    </row>
    <row r="110" spans="1:16" ht="13.5" thickBot="1" x14ac:dyDescent="0.25">
      <c r="A110" s="763">
        <f>A108*A109</f>
        <v>8206861.0499999998</v>
      </c>
      <c r="B110" s="772">
        <f>B85+B97</f>
        <v>1014489.7254795196</v>
      </c>
      <c r="C110" s="772">
        <f t="shared" ref="C110:M110" si="35">C85+C97</f>
        <v>679270.98731805442</v>
      </c>
      <c r="D110" s="772">
        <f t="shared" si="35"/>
        <v>575427.18324090587</v>
      </c>
      <c r="E110" s="772">
        <f t="shared" si="35"/>
        <v>564532.23281314492</v>
      </c>
      <c r="F110" s="772">
        <f t="shared" si="35"/>
        <v>612682.90970365214</v>
      </c>
      <c r="G110" s="772">
        <f t="shared" si="35"/>
        <v>572836.75813919969</v>
      </c>
      <c r="H110" s="772">
        <f t="shared" si="35"/>
        <v>628910.81034079718</v>
      </c>
      <c r="I110" s="772">
        <f t="shared" si="35"/>
        <v>665252.3617676507</v>
      </c>
      <c r="J110" s="772">
        <f t="shared" si="35"/>
        <v>680870.96238087327</v>
      </c>
      <c r="K110" s="772">
        <f t="shared" si="35"/>
        <v>716831.36379276204</v>
      </c>
      <c r="L110" s="772">
        <f t="shared" si="35"/>
        <v>715688.58874789393</v>
      </c>
      <c r="M110" s="772">
        <f t="shared" si="35"/>
        <v>780067.1662755463</v>
      </c>
      <c r="N110" s="765">
        <f>SUM(B110)</f>
        <v>1014489.7254795196</v>
      </c>
    </row>
    <row r="111" spans="1:16" x14ac:dyDescent="0.2">
      <c r="A111" s="773" t="s">
        <v>442</v>
      </c>
      <c r="B111" s="774">
        <v>630182.47499999998</v>
      </c>
      <c r="C111" s="774">
        <v>453572.32500000001</v>
      </c>
      <c r="D111" s="774">
        <v>421343.77500000002</v>
      </c>
      <c r="E111" s="774">
        <v>466421.4</v>
      </c>
      <c r="F111" s="774">
        <v>407954.92499999999</v>
      </c>
      <c r="G111" s="774">
        <v>436274.32500000001</v>
      </c>
      <c r="H111" s="774">
        <v>435245.4</v>
      </c>
      <c r="I111" s="774">
        <v>416192.625</v>
      </c>
      <c r="J111" s="774">
        <v>432105.07500000001</v>
      </c>
      <c r="K111" s="774">
        <v>412083.67499999999</v>
      </c>
      <c r="L111" s="774">
        <v>462016.125</v>
      </c>
      <c r="M111" s="774">
        <v>503765.77500000002</v>
      </c>
    </row>
    <row r="112" spans="1:16" ht="13.5" thickBot="1" x14ac:dyDescent="0.25">
      <c r="A112" s="773" t="s">
        <v>443</v>
      </c>
      <c r="B112" s="774">
        <f>B110-B111</f>
        <v>384307.2504795196</v>
      </c>
      <c r="C112" s="774">
        <f t="shared" ref="C112:M112" si="36">C110-C111</f>
        <v>225698.66231805441</v>
      </c>
      <c r="D112" s="774">
        <f t="shared" si="36"/>
        <v>154083.40824090585</v>
      </c>
      <c r="E112" s="774">
        <f t="shared" si="36"/>
        <v>98110.832813144894</v>
      </c>
      <c r="F112" s="774">
        <f t="shared" si="36"/>
        <v>204727.98470365215</v>
      </c>
      <c r="G112" s="774">
        <f t="shared" si="36"/>
        <v>136562.43313919968</v>
      </c>
      <c r="H112" s="774">
        <f t="shared" si="36"/>
        <v>193665.41034079716</v>
      </c>
      <c r="I112" s="774">
        <f t="shared" si="36"/>
        <v>249059.7367676507</v>
      </c>
      <c r="J112" s="774">
        <f t="shared" si="36"/>
        <v>248765.88738087326</v>
      </c>
      <c r="K112" s="774">
        <f t="shared" si="36"/>
        <v>304747.68879276206</v>
      </c>
      <c r="L112" s="774">
        <f t="shared" si="36"/>
        <v>253672.46374789393</v>
      </c>
      <c r="M112" s="774">
        <f t="shared" si="36"/>
        <v>276301.39127554628</v>
      </c>
    </row>
    <row r="113" spans="1:14" ht="13.5" thickBot="1" x14ac:dyDescent="0.25">
      <c r="A113" s="775" t="s">
        <v>444</v>
      </c>
      <c r="B113" s="776">
        <f>B111+B112</f>
        <v>1014489.7254795196</v>
      </c>
      <c r="C113" s="776">
        <f t="shared" ref="C113:M113" si="37">C111+C112</f>
        <v>679270.98731805442</v>
      </c>
      <c r="D113" s="776">
        <f t="shared" si="37"/>
        <v>575427.18324090587</v>
      </c>
      <c r="E113" s="776">
        <f t="shared" si="37"/>
        <v>564532.23281314492</v>
      </c>
      <c r="F113" s="776">
        <f t="shared" si="37"/>
        <v>612682.90970365214</v>
      </c>
      <c r="G113" s="776">
        <f t="shared" si="37"/>
        <v>572836.75813919969</v>
      </c>
      <c r="H113" s="776">
        <f t="shared" si="37"/>
        <v>628910.81034079718</v>
      </c>
      <c r="I113" s="776">
        <f t="shared" si="37"/>
        <v>665252.3617676507</v>
      </c>
      <c r="J113" s="776">
        <f t="shared" si="37"/>
        <v>680870.96238087327</v>
      </c>
      <c r="K113" s="776">
        <f t="shared" si="37"/>
        <v>716831.36379276204</v>
      </c>
      <c r="L113" s="776">
        <f t="shared" si="37"/>
        <v>715688.58874789393</v>
      </c>
      <c r="M113" s="776">
        <f t="shared" si="37"/>
        <v>780067.1662755463</v>
      </c>
    </row>
    <row r="114" spans="1:14" x14ac:dyDescent="0.2">
      <c r="A114" s="793"/>
      <c r="B114" s="792"/>
      <c r="C114" s="792"/>
      <c r="D114" s="792"/>
      <c r="E114" s="792"/>
      <c r="F114" s="792"/>
      <c r="G114" s="792"/>
      <c r="H114" s="792"/>
      <c r="I114" s="792"/>
      <c r="J114" s="792"/>
      <c r="K114" s="792"/>
      <c r="L114" s="792"/>
      <c r="M114" s="792"/>
    </row>
    <row r="115" spans="1:14" x14ac:dyDescent="0.2">
      <c r="A115" s="1085"/>
      <c r="B115" s="1085"/>
      <c r="C115" s="1085"/>
      <c r="D115" s="1085"/>
      <c r="E115" s="1085"/>
      <c r="F115" s="1085"/>
      <c r="G115" s="1085"/>
      <c r="H115" s="1085"/>
      <c r="I115" s="1085"/>
      <c r="J115" s="1085"/>
      <c r="K115" s="1085"/>
      <c r="L115" s="1085"/>
      <c r="M115" s="1085"/>
    </row>
    <row r="116" spans="1:14" x14ac:dyDescent="0.2">
      <c r="A116" s="1083" t="s">
        <v>439</v>
      </c>
      <c r="B116" s="1083"/>
      <c r="C116" s="1083"/>
      <c r="D116" s="1083"/>
      <c r="E116" s="1083"/>
      <c r="F116" s="1083"/>
      <c r="G116" s="1083"/>
      <c r="H116" s="1083"/>
      <c r="I116" s="1083"/>
      <c r="J116" s="1083"/>
      <c r="K116" s="1083"/>
      <c r="L116" s="1083"/>
      <c r="M116" s="1083"/>
    </row>
    <row r="117" spans="1:14" x14ac:dyDescent="0.2">
      <c r="A117" s="1082" t="s">
        <v>453</v>
      </c>
      <c r="B117" s="1082"/>
      <c r="C117" s="1082"/>
      <c r="D117" s="1082"/>
      <c r="E117" s="1082"/>
      <c r="F117" s="1082"/>
      <c r="G117" s="1082"/>
      <c r="H117" s="1082"/>
      <c r="I117" s="1082"/>
      <c r="J117" s="1082"/>
      <c r="K117" s="1082"/>
      <c r="L117" s="1082"/>
      <c r="M117" s="1082"/>
      <c r="N117" s="794"/>
    </row>
    <row r="118" spans="1:14" ht="13.5" thickBot="1" x14ac:dyDescent="0.25">
      <c r="A118" s="795">
        <f>SUM(B118:M118)</f>
        <v>100.00000000000001</v>
      </c>
      <c r="B118" s="796">
        <f>'[6]X22.55 DOF'!B84</f>
        <v>10.01373722301582</v>
      </c>
      <c r="C118" s="796">
        <f>'[6]X22.55 DOF'!C84</f>
        <v>10.292168842074197</v>
      </c>
      <c r="D118" s="796">
        <f>'[6]X22.55 DOF'!D84</f>
        <v>7.5736943890951753</v>
      </c>
      <c r="E118" s="796">
        <f>'[6]X22.55 DOF'!E84</f>
        <v>7.9930563338445015</v>
      </c>
      <c r="F118" s="796">
        <f>'[6]X22.55 DOF'!F84</f>
        <v>7.125244544450883</v>
      </c>
      <c r="G118" s="796">
        <f>'[6]X22.55 DOF'!G84</f>
        <v>7.4155784113680427</v>
      </c>
      <c r="H118" s="796">
        <f>'[6]X22.55 DOF'!H84</f>
        <v>7.6567350274392476</v>
      </c>
      <c r="I118" s="796">
        <f>'[6]X22.55 DOF'!I84</f>
        <v>9.239533475768404</v>
      </c>
      <c r="J118" s="796">
        <f>'[6]X22.55 DOF'!J84</f>
        <v>8.8062079933585231</v>
      </c>
      <c r="K118" s="796">
        <f>'[6]X22.55 DOF'!K84</f>
        <v>6.2227482456882326</v>
      </c>
      <c r="L118" s="796">
        <f>'[6]X22.55 DOF'!L84</f>
        <v>9.9371300953710282</v>
      </c>
      <c r="M118" s="796">
        <f>'[6]X22.55 DOF'!M84</f>
        <v>7.7241654185259438</v>
      </c>
      <c r="N118" s="794"/>
    </row>
    <row r="119" spans="1:14" ht="13.5" thickBot="1" x14ac:dyDescent="0.25">
      <c r="A119" s="761" t="s">
        <v>441</v>
      </c>
      <c r="B119" s="762" t="s">
        <v>1</v>
      </c>
      <c r="C119" s="762" t="s">
        <v>2</v>
      </c>
      <c r="D119" s="762" t="s">
        <v>3</v>
      </c>
      <c r="E119" s="762" t="s">
        <v>4</v>
      </c>
      <c r="F119" s="762" t="s">
        <v>5</v>
      </c>
      <c r="G119" s="762" t="s">
        <v>6</v>
      </c>
      <c r="H119" s="762" t="s">
        <v>7</v>
      </c>
      <c r="I119" s="762" t="s">
        <v>8</v>
      </c>
      <c r="J119" s="762" t="s">
        <v>9</v>
      </c>
      <c r="K119" s="762" t="s">
        <v>10</v>
      </c>
      <c r="L119" s="762" t="s">
        <v>11</v>
      </c>
      <c r="M119" s="762" t="s">
        <v>12</v>
      </c>
      <c r="N119" s="794"/>
    </row>
    <row r="120" spans="1:14" ht="13.5" thickBot="1" x14ac:dyDescent="0.25">
      <c r="A120" s="763">
        <v>671763863</v>
      </c>
      <c r="B120" s="789">
        <f>$A$120*B118/100</f>
        <v>67268668</v>
      </c>
      <c r="C120" s="789">
        <f t="shared" ref="C120:M120" si="38">$A$120*C118/100</f>
        <v>69139071</v>
      </c>
      <c r="D120" s="789">
        <f t="shared" si="38"/>
        <v>50877342</v>
      </c>
      <c r="E120" s="789">
        <f t="shared" si="38"/>
        <v>53694464</v>
      </c>
      <c r="F120" s="789">
        <f t="shared" si="38"/>
        <v>47864818</v>
      </c>
      <c r="G120" s="789">
        <f t="shared" si="38"/>
        <v>49815175.999999993</v>
      </c>
      <c r="H120" s="789">
        <f t="shared" si="38"/>
        <v>51435179</v>
      </c>
      <c r="I120" s="789">
        <f t="shared" si="38"/>
        <v>62067847</v>
      </c>
      <c r="J120" s="789">
        <f t="shared" si="38"/>
        <v>59156923</v>
      </c>
      <c r="K120" s="789">
        <f t="shared" si="38"/>
        <v>41802174</v>
      </c>
      <c r="L120" s="789">
        <f t="shared" si="38"/>
        <v>66754049</v>
      </c>
      <c r="M120" s="789">
        <f t="shared" si="38"/>
        <v>51888152</v>
      </c>
      <c r="N120" s="765">
        <f>SUM(B120)</f>
        <v>67268668</v>
      </c>
    </row>
    <row r="121" spans="1:14" ht="13.5" thickBot="1" x14ac:dyDescent="0.25">
      <c r="A121" s="769">
        <v>0.22500000000000001</v>
      </c>
      <c r="B121" s="784">
        <v>0.22500000000000001</v>
      </c>
      <c r="C121" s="784">
        <v>0.22500000000000001</v>
      </c>
      <c r="D121" s="784">
        <v>0.22500000000000001</v>
      </c>
      <c r="E121" s="784">
        <v>0.22500000000000001</v>
      </c>
      <c r="F121" s="784">
        <v>0.22500000000000001</v>
      </c>
      <c r="G121" s="784">
        <v>0.22500000000000001</v>
      </c>
      <c r="H121" s="784">
        <v>0.22500000000000001</v>
      </c>
      <c r="I121" s="784">
        <v>0.22500000000000001</v>
      </c>
      <c r="J121" s="784">
        <v>0.22500000000000001</v>
      </c>
      <c r="K121" s="784">
        <v>0.22500000000000001</v>
      </c>
      <c r="L121" s="784">
        <v>0.22500000000000001</v>
      </c>
      <c r="M121" s="784">
        <v>0.22500000000000001</v>
      </c>
      <c r="N121" s="765"/>
    </row>
    <row r="122" spans="1:14" ht="13.5" thickBot="1" x14ac:dyDescent="0.25">
      <c r="A122" s="763">
        <f t="shared" ref="A122:M122" si="39">A120*A121</f>
        <v>151146869.17500001</v>
      </c>
      <c r="B122" s="772">
        <f t="shared" si="39"/>
        <v>15135450.300000001</v>
      </c>
      <c r="C122" s="772">
        <f t="shared" si="39"/>
        <v>15556290.975</v>
      </c>
      <c r="D122" s="772">
        <f t="shared" si="39"/>
        <v>11447401.950000001</v>
      </c>
      <c r="E122" s="772">
        <f t="shared" si="39"/>
        <v>12081254.4</v>
      </c>
      <c r="F122" s="772">
        <f t="shared" si="39"/>
        <v>10769584.050000001</v>
      </c>
      <c r="G122" s="772">
        <f t="shared" si="39"/>
        <v>11208414.599999998</v>
      </c>
      <c r="H122" s="772">
        <f t="shared" si="39"/>
        <v>11572915.275</v>
      </c>
      <c r="I122" s="772">
        <f t="shared" si="39"/>
        <v>13965265.575000001</v>
      </c>
      <c r="J122" s="772">
        <f t="shared" si="39"/>
        <v>13310307.675000001</v>
      </c>
      <c r="K122" s="772">
        <f t="shared" si="39"/>
        <v>9405489.1500000004</v>
      </c>
      <c r="L122" s="772">
        <f t="shared" si="39"/>
        <v>15019661.025</v>
      </c>
      <c r="M122" s="772">
        <f t="shared" si="39"/>
        <v>11674834.200000001</v>
      </c>
      <c r="N122" s="765">
        <f>SUM(B122)</f>
        <v>15135450.300000001</v>
      </c>
    </row>
    <row r="123" spans="1:14" ht="13.5" thickBot="1" x14ac:dyDescent="0.25">
      <c r="A123" s="775" t="s">
        <v>444</v>
      </c>
    </row>
    <row r="126" spans="1:14" x14ac:dyDescent="0.2">
      <c r="A126" s="1083" t="s">
        <v>439</v>
      </c>
      <c r="B126" s="1083"/>
      <c r="C126" s="1083"/>
      <c r="D126" s="1083"/>
      <c r="E126" s="1083"/>
      <c r="F126" s="1083"/>
      <c r="G126" s="1083"/>
      <c r="H126" s="1083"/>
      <c r="I126" s="1083"/>
      <c r="J126" s="1083"/>
      <c r="K126" s="1083"/>
      <c r="L126" s="1083"/>
      <c r="M126" s="1083"/>
    </row>
    <row r="127" spans="1:14" x14ac:dyDescent="0.2">
      <c r="A127" s="1082" t="s">
        <v>454</v>
      </c>
      <c r="B127" s="1082"/>
      <c r="C127" s="1082"/>
      <c r="D127" s="1082"/>
      <c r="E127" s="1082"/>
      <c r="F127" s="1082"/>
      <c r="G127" s="1082"/>
      <c r="H127" s="1082"/>
      <c r="I127" s="1082"/>
      <c r="J127" s="1082"/>
      <c r="K127" s="1082"/>
      <c r="L127" s="1082"/>
      <c r="M127" s="1082"/>
    </row>
    <row r="128" spans="1:14" ht="13.5" thickBot="1" x14ac:dyDescent="0.25">
      <c r="A128" s="795">
        <f>SUM(B128:M128)</f>
        <v>100</v>
      </c>
      <c r="B128" s="796">
        <f>'[6]X22.55 DOF'!B94</f>
        <v>11.156141160800644</v>
      </c>
      <c r="C128" s="796">
        <f>'[6]X22.55 DOF'!C94</f>
        <v>8.6606126465231412</v>
      </c>
      <c r="D128" s="796">
        <f>'[6]X22.55 DOF'!D94</f>
        <v>10.579119880704347</v>
      </c>
      <c r="E128" s="796">
        <f>'[6]X22.55 DOF'!E94</f>
        <v>4.9757936658028159</v>
      </c>
      <c r="F128" s="796">
        <f>'[6]X22.55 DOF'!F94</f>
        <v>9.3002253380226811</v>
      </c>
      <c r="G128" s="796">
        <f>'[6]X22.55 DOF'!G94</f>
        <v>6.5760503978891309</v>
      </c>
      <c r="H128" s="796">
        <f>'[6]X22.55 DOF'!H94</f>
        <v>10.968948132553944</v>
      </c>
      <c r="I128" s="796">
        <f>'[6]X22.55 DOF'!I94</f>
        <v>5.3193132148442155</v>
      </c>
      <c r="J128" s="796">
        <f>'[6]X22.55 DOF'!J94</f>
        <v>10.695423664721773</v>
      </c>
      <c r="K128" s="796">
        <f>'[6]X22.55 DOF'!K94</f>
        <v>5.3843635745525855</v>
      </c>
      <c r="L128" s="796">
        <f>'[6]X22.55 DOF'!L94</f>
        <v>10.0667644702178</v>
      </c>
      <c r="M128" s="796">
        <f>'[6]X22.55 DOF'!M94</f>
        <v>6.3172438533669215</v>
      </c>
    </row>
    <row r="129" spans="1:18" ht="13.5" thickBot="1" x14ac:dyDescent="0.25">
      <c r="A129" s="761" t="s">
        <v>441</v>
      </c>
      <c r="B129" s="762" t="s">
        <v>1</v>
      </c>
      <c r="C129" s="762" t="s">
        <v>2</v>
      </c>
      <c r="D129" s="762" t="s">
        <v>3</v>
      </c>
      <c r="E129" s="762" t="s">
        <v>4</v>
      </c>
      <c r="F129" s="762" t="s">
        <v>5</v>
      </c>
      <c r="G129" s="762" t="s">
        <v>6</v>
      </c>
      <c r="H129" s="762" t="s">
        <v>7</v>
      </c>
      <c r="I129" s="762" t="s">
        <v>8</v>
      </c>
      <c r="J129" s="762" t="s">
        <v>9</v>
      </c>
      <c r="K129" s="762" t="s">
        <v>10</v>
      </c>
      <c r="L129" s="762" t="s">
        <v>11</v>
      </c>
      <c r="M129" s="762" t="s">
        <v>12</v>
      </c>
    </row>
    <row r="130" spans="1:18" ht="13.5" thickBot="1" x14ac:dyDescent="0.25">
      <c r="A130" s="763">
        <v>11183643</v>
      </c>
      <c r="B130" s="789">
        <f>$A$130*B128/100</f>
        <v>1247663</v>
      </c>
      <c r="C130" s="789">
        <f t="shared" ref="C130:M130" si="40">$A$130*C128/100</f>
        <v>968572</v>
      </c>
      <c r="D130" s="789">
        <f t="shared" si="40"/>
        <v>1183131</v>
      </c>
      <c r="E130" s="789">
        <f t="shared" si="40"/>
        <v>556475</v>
      </c>
      <c r="F130" s="789">
        <f t="shared" si="40"/>
        <v>1040103.9999999999</v>
      </c>
      <c r="G130" s="789">
        <f t="shared" si="40"/>
        <v>735442</v>
      </c>
      <c r="H130" s="789">
        <f t="shared" si="40"/>
        <v>1226727.9999999998</v>
      </c>
      <c r="I130" s="789">
        <f t="shared" si="40"/>
        <v>594893.00000000012</v>
      </c>
      <c r="J130" s="789">
        <f t="shared" si="40"/>
        <v>1196138</v>
      </c>
      <c r="K130" s="789">
        <f t="shared" si="40"/>
        <v>602168</v>
      </c>
      <c r="L130" s="789">
        <f t="shared" si="40"/>
        <v>1125831</v>
      </c>
      <c r="M130" s="789">
        <f t="shared" si="40"/>
        <v>706498</v>
      </c>
      <c r="N130" s="765">
        <f>SUM(B130)</f>
        <v>1247663</v>
      </c>
    </row>
    <row r="131" spans="1:18" ht="13.5" thickBot="1" x14ac:dyDescent="0.25">
      <c r="A131" s="769">
        <v>0.22500000000000001</v>
      </c>
      <c r="B131" s="784">
        <v>0.22500000000000001</v>
      </c>
      <c r="C131" s="784">
        <v>0.22500000000000001</v>
      </c>
      <c r="D131" s="784">
        <v>0.22500000000000001</v>
      </c>
      <c r="E131" s="784">
        <v>0.22500000000000001</v>
      </c>
      <c r="F131" s="784">
        <v>0.22500000000000001</v>
      </c>
      <c r="G131" s="784">
        <v>0.22500000000000001</v>
      </c>
      <c r="H131" s="784">
        <v>0.22500000000000001</v>
      </c>
      <c r="I131" s="784">
        <v>0.22500000000000001</v>
      </c>
      <c r="J131" s="784">
        <v>0.22500000000000001</v>
      </c>
      <c r="K131" s="784">
        <v>0.22500000000000001</v>
      </c>
      <c r="L131" s="784">
        <v>0.22500000000000001</v>
      </c>
      <c r="M131" s="784">
        <v>0.22500000000000001</v>
      </c>
      <c r="N131" s="765"/>
    </row>
    <row r="132" spans="1:18" ht="13.5" thickBot="1" x14ac:dyDescent="0.25">
      <c r="A132" s="763">
        <f t="shared" ref="A132:M132" si="41">A130*A131</f>
        <v>2516319.6750000003</v>
      </c>
      <c r="B132" s="772">
        <f t="shared" si="41"/>
        <v>280724.17499999999</v>
      </c>
      <c r="C132" s="772">
        <f t="shared" si="41"/>
        <v>217928.7</v>
      </c>
      <c r="D132" s="772">
        <f t="shared" si="41"/>
        <v>266204.47500000003</v>
      </c>
      <c r="E132" s="772">
        <f t="shared" si="41"/>
        <v>125206.875</v>
      </c>
      <c r="F132" s="772">
        <f t="shared" si="41"/>
        <v>234023.39999999997</v>
      </c>
      <c r="G132" s="772">
        <f t="shared" si="41"/>
        <v>165474.45000000001</v>
      </c>
      <c r="H132" s="772">
        <f t="shared" si="41"/>
        <v>276013.79999999993</v>
      </c>
      <c r="I132" s="772">
        <f t="shared" si="41"/>
        <v>133850.92500000002</v>
      </c>
      <c r="J132" s="772">
        <f t="shared" si="41"/>
        <v>269131.05</v>
      </c>
      <c r="K132" s="772">
        <f t="shared" si="41"/>
        <v>135487.80000000002</v>
      </c>
      <c r="L132" s="772">
        <f t="shared" si="41"/>
        <v>253311.97500000001</v>
      </c>
      <c r="M132" s="772">
        <f t="shared" si="41"/>
        <v>158962.05000000002</v>
      </c>
      <c r="N132" s="765">
        <f>SUM(B132)</f>
        <v>280724.17499999999</v>
      </c>
    </row>
    <row r="133" spans="1:18" ht="13.5" thickBot="1" x14ac:dyDescent="0.25">
      <c r="A133" s="775" t="s">
        <v>444</v>
      </c>
    </row>
    <row r="136" spans="1:18" x14ac:dyDescent="0.2">
      <c r="A136" s="1083" t="s">
        <v>439</v>
      </c>
      <c r="B136" s="1083"/>
      <c r="C136" s="1083"/>
      <c r="D136" s="1083"/>
      <c r="E136" s="1083"/>
      <c r="F136" s="1083"/>
      <c r="G136" s="1083"/>
      <c r="H136" s="1083"/>
      <c r="I136" s="1083"/>
      <c r="J136" s="1083"/>
      <c r="K136" s="1083"/>
      <c r="L136" s="1083"/>
      <c r="M136" s="1083"/>
    </row>
    <row r="137" spans="1:18" x14ac:dyDescent="0.2">
      <c r="A137" s="1082" t="s">
        <v>455</v>
      </c>
      <c r="B137" s="1082"/>
      <c r="C137" s="1082"/>
      <c r="D137" s="1082"/>
      <c r="E137" s="1082"/>
      <c r="F137" s="1082"/>
      <c r="G137" s="1082"/>
      <c r="H137" s="1082"/>
      <c r="I137" s="1082"/>
      <c r="J137" s="1082"/>
      <c r="K137" s="1082"/>
      <c r="L137" s="1082"/>
      <c r="M137" s="1082"/>
    </row>
    <row r="138" spans="1:18" ht="13.5" thickBot="1" x14ac:dyDescent="0.25">
      <c r="A138" s="795">
        <f>SUM(B138:M138)</f>
        <v>100.00000000000001</v>
      </c>
      <c r="B138" s="796">
        <f>'[6]X22.55 DOF'!B104</f>
        <v>4.3185975031649786</v>
      </c>
      <c r="C138" s="796">
        <f>'[6]X22.55 DOF'!C104</f>
        <v>6.2984686070703164</v>
      </c>
      <c r="D138" s="796">
        <f>'[6]X22.55 DOF'!D104</f>
        <v>8.5112123463757356</v>
      </c>
      <c r="E138" s="796">
        <f>'[6]X22.55 DOF'!E104</f>
        <v>8.153809197902806</v>
      </c>
      <c r="F138" s="796">
        <f>'[6]X22.55 DOF'!F104</f>
        <v>8.5234571253373161</v>
      </c>
      <c r="G138" s="796">
        <f>'[6]X22.55 DOF'!G104</f>
        <v>9.3056849521561826</v>
      </c>
      <c r="H138" s="796">
        <f>'[6]X22.55 DOF'!H104</f>
        <v>8.2002299638826397</v>
      </c>
      <c r="I138" s="796">
        <f>'[6]X22.55 DOF'!I104</f>
        <v>9.3872515371298011</v>
      </c>
      <c r="J138" s="796">
        <f>'[6]X22.55 DOF'!J104</f>
        <v>7.7873732350646572</v>
      </c>
      <c r="K138" s="796">
        <f>'[6]X22.55 DOF'!K104</f>
        <v>9.635354621960202</v>
      </c>
      <c r="L138" s="796">
        <f>'[6]X22.55 DOF'!L104</f>
        <v>10.070058581046936</v>
      </c>
      <c r="M138" s="796">
        <f>'[6]X22.55 DOF'!M104</f>
        <v>9.8085023289084283</v>
      </c>
    </row>
    <row r="139" spans="1:18" ht="13.5" thickBot="1" x14ac:dyDescent="0.25">
      <c r="A139" s="761" t="s">
        <v>441</v>
      </c>
      <c r="B139" s="762" t="s">
        <v>1</v>
      </c>
      <c r="C139" s="762" t="s">
        <v>2</v>
      </c>
      <c r="D139" s="762" t="s">
        <v>3</v>
      </c>
      <c r="E139" s="762" t="s">
        <v>4</v>
      </c>
      <c r="F139" s="762" t="s">
        <v>5</v>
      </c>
      <c r="G139" s="762" t="s">
        <v>6</v>
      </c>
      <c r="H139" s="762" t="s">
        <v>7</v>
      </c>
      <c r="I139" s="762" t="s">
        <v>8</v>
      </c>
      <c r="J139" s="762" t="s">
        <v>9</v>
      </c>
      <c r="K139" s="762" t="s">
        <v>10</v>
      </c>
      <c r="L139" s="762" t="s">
        <v>11</v>
      </c>
      <c r="M139" s="762" t="s">
        <v>12</v>
      </c>
    </row>
    <row r="140" spans="1:18" ht="13.5" thickBot="1" x14ac:dyDescent="0.25">
      <c r="A140" s="763">
        <v>269141315</v>
      </c>
      <c r="B140" s="789">
        <f>$A$140*B138/100</f>
        <v>11623130.109575391</v>
      </c>
      <c r="C140" s="789">
        <f t="shared" ref="C140:M140" si="42">$A$140*C138/100</f>
        <v>16951781.233931232</v>
      </c>
      <c r="D140" s="789">
        <f t="shared" si="42"/>
        <v>22907188.831478011</v>
      </c>
      <c r="E140" s="789">
        <f t="shared" si="42"/>
        <v>21945269.297826566</v>
      </c>
      <c r="F140" s="789">
        <f t="shared" si="42"/>
        <v>22940144.59059405</v>
      </c>
      <c r="G140" s="789">
        <f t="shared" si="42"/>
        <v>25045442.849990271</v>
      </c>
      <c r="H140" s="789">
        <f t="shared" si="42"/>
        <v>22070206.75781776</v>
      </c>
      <c r="I140" s="789">
        <f t="shared" si="42"/>
        <v>25264972.229388863</v>
      </c>
      <c r="J140" s="789">
        <f t="shared" si="42"/>
        <v>20959038.728811059</v>
      </c>
      <c r="K140" s="789">
        <f t="shared" si="42"/>
        <v>25932720.13445697</v>
      </c>
      <c r="L140" s="789">
        <f t="shared" si="42"/>
        <v>27102688.086300064</v>
      </c>
      <c r="M140" s="789">
        <f t="shared" si="42"/>
        <v>26398732.149829768</v>
      </c>
      <c r="N140" s="765">
        <f>SUM(B140)</f>
        <v>11623130.109575391</v>
      </c>
      <c r="P140" s="797" t="e">
        <f>N10+N22+N36+N47+N59+N71+N108+N120+N130+N140</f>
        <v>#DIV/0!</v>
      </c>
    </row>
    <row r="141" spans="1:18" ht="13.5" thickBot="1" x14ac:dyDescent="0.25">
      <c r="A141" s="769">
        <v>0.22500000000000001</v>
      </c>
      <c r="B141" s="784">
        <v>0.22500000000000001</v>
      </c>
      <c r="C141" s="784">
        <v>0.22500000000000001</v>
      </c>
      <c r="D141" s="784">
        <v>0.22500000000000001</v>
      </c>
      <c r="E141" s="784">
        <v>0.22500000000000001</v>
      </c>
      <c r="F141" s="784">
        <v>0.22500000000000001</v>
      </c>
      <c r="G141" s="784">
        <v>0.22500000000000001</v>
      </c>
      <c r="H141" s="784">
        <v>0.22500000000000001</v>
      </c>
      <c r="I141" s="784">
        <v>0.22500000000000001</v>
      </c>
      <c r="J141" s="784">
        <v>0.22500000000000001</v>
      </c>
      <c r="K141" s="784">
        <v>0.22500000000000001</v>
      </c>
      <c r="L141" s="784">
        <v>0.22500000000000001</v>
      </c>
      <c r="M141" s="784">
        <v>0.22500000000000001</v>
      </c>
      <c r="N141" s="765"/>
    </row>
    <row r="142" spans="1:18" ht="13.5" thickBot="1" x14ac:dyDescent="0.25">
      <c r="A142" s="763">
        <f t="shared" ref="A142:M142" si="43">A140*A141</f>
        <v>60556795.875</v>
      </c>
      <c r="B142" s="772">
        <f t="shared" si="43"/>
        <v>2615204.2746544629</v>
      </c>
      <c r="C142" s="772">
        <f t="shared" si="43"/>
        <v>3814150.7776345275</v>
      </c>
      <c r="D142" s="772">
        <f t="shared" si="43"/>
        <v>5154117.4870825522</v>
      </c>
      <c r="E142" s="772">
        <f t="shared" si="43"/>
        <v>4937685.5920109777</v>
      </c>
      <c r="F142" s="772">
        <f t="shared" si="43"/>
        <v>5161532.5328836609</v>
      </c>
      <c r="G142" s="772">
        <f t="shared" si="43"/>
        <v>5635224.6412478108</v>
      </c>
      <c r="H142" s="772">
        <f t="shared" si="43"/>
        <v>4965796.5205089962</v>
      </c>
      <c r="I142" s="772">
        <f t="shared" si="43"/>
        <v>5684618.7516124947</v>
      </c>
      <c r="J142" s="772">
        <f t="shared" si="43"/>
        <v>4715783.713982488</v>
      </c>
      <c r="K142" s="772">
        <f t="shared" si="43"/>
        <v>5834862.030252818</v>
      </c>
      <c r="L142" s="772">
        <f t="shared" si="43"/>
        <v>6098104.8194175148</v>
      </c>
      <c r="M142" s="772">
        <f t="shared" si="43"/>
        <v>5939714.7337116981</v>
      </c>
      <c r="N142" s="765">
        <f>SUM(B142)</f>
        <v>2615204.2746544629</v>
      </c>
      <c r="P142" s="667" t="e">
        <f>N13+N22+N38+N49+N61+N73+N85+N97+N122+N132+N142</f>
        <v>#DIV/0!</v>
      </c>
      <c r="Q142" s="798"/>
      <c r="R142" s="667"/>
    </row>
    <row r="143" spans="1:18" ht="13.5" thickBot="1" x14ac:dyDescent="0.25">
      <c r="A143" s="775" t="s">
        <v>444</v>
      </c>
      <c r="P143" s="667">
        <v>2160919772.125</v>
      </c>
    </row>
    <row r="144" spans="1:18" x14ac:dyDescent="0.2">
      <c r="P144" s="667" t="e">
        <f>P143-P142</f>
        <v>#DIV/0!</v>
      </c>
    </row>
    <row r="146" spans="1:16" x14ac:dyDescent="0.2">
      <c r="A146" s="1078" t="s">
        <v>456</v>
      </c>
      <c r="B146" s="1078"/>
      <c r="C146" s="1078"/>
      <c r="D146" s="1078"/>
      <c r="E146" s="1078"/>
      <c r="F146" s="1078"/>
      <c r="G146" s="1078"/>
      <c r="H146" s="1078"/>
      <c r="I146" s="1078"/>
      <c r="J146" s="1078"/>
      <c r="K146" s="1078"/>
      <c r="L146" s="1078"/>
      <c r="M146" s="1078"/>
    </row>
    <row r="147" spans="1:16" ht="13.5" thickBot="1" x14ac:dyDescent="0.25">
      <c r="P147" s="691"/>
    </row>
    <row r="148" spans="1:16" ht="13.5" thickBot="1" x14ac:dyDescent="0.25">
      <c r="A148" s="761" t="s">
        <v>441</v>
      </c>
      <c r="B148" s="762" t="s">
        <v>1</v>
      </c>
      <c r="C148" s="762" t="s">
        <v>2</v>
      </c>
      <c r="D148" s="762" t="s">
        <v>3</v>
      </c>
      <c r="E148" s="762" t="s">
        <v>4</v>
      </c>
      <c r="F148" s="762" t="s">
        <v>5</v>
      </c>
      <c r="G148" s="762" t="s">
        <v>6</v>
      </c>
      <c r="H148" s="762" t="s">
        <v>7</v>
      </c>
      <c r="I148" s="762" t="s">
        <v>8</v>
      </c>
      <c r="J148" s="762" t="s">
        <v>9</v>
      </c>
      <c r="K148" s="762" t="s">
        <v>10</v>
      </c>
      <c r="L148" s="762" t="s">
        <v>11</v>
      </c>
      <c r="M148" s="762" t="s">
        <v>12</v>
      </c>
      <c r="P148" s="691"/>
    </row>
    <row r="149" spans="1:16" ht="13.5" thickBot="1" x14ac:dyDescent="0.25">
      <c r="A149" s="772">
        <f>B149+C149+D149+E149+F149+G149+H149+I149+J149+K149+L149+M149</f>
        <v>5765201</v>
      </c>
      <c r="B149" s="772">
        <v>283434.96999999997</v>
      </c>
      <c r="C149" s="772">
        <v>471688.4</v>
      </c>
      <c r="D149" s="772">
        <v>447816.27</v>
      </c>
      <c r="E149" s="772">
        <v>411205.1</v>
      </c>
      <c r="F149" s="772">
        <v>674349.79</v>
      </c>
      <c r="G149" s="772">
        <v>490914.79</v>
      </c>
      <c r="H149" s="772">
        <v>468338.74</v>
      </c>
      <c r="I149" s="772">
        <v>319628.64</v>
      </c>
      <c r="J149" s="772">
        <v>349899.57</v>
      </c>
      <c r="K149" s="772">
        <v>633622.46</v>
      </c>
      <c r="L149" s="772">
        <v>649028.54</v>
      </c>
      <c r="M149" s="799">
        <v>565273.73</v>
      </c>
      <c r="N149" s="800">
        <f>SUM(B149)</f>
        <v>283434.96999999997</v>
      </c>
      <c r="P149" s="773"/>
    </row>
    <row r="150" spans="1:16" ht="13.5" thickBot="1" x14ac:dyDescent="0.25">
      <c r="A150" s="769">
        <v>0.22500000000000001</v>
      </c>
      <c r="B150" s="784">
        <v>0.22500000000000001</v>
      </c>
      <c r="C150" s="784">
        <v>0.22500000000000001</v>
      </c>
      <c r="D150" s="784">
        <v>0.22500000000000001</v>
      </c>
      <c r="E150" s="784">
        <v>0.22500000000000001</v>
      </c>
      <c r="F150" s="784">
        <v>0.22500000000000001</v>
      </c>
      <c r="G150" s="784">
        <v>0.22500000000000001</v>
      </c>
      <c r="H150" s="784">
        <v>0.22500000000000001</v>
      </c>
      <c r="I150" s="784">
        <v>0.22500000000000001</v>
      </c>
      <c r="J150" s="784">
        <v>0.22500000000000001</v>
      </c>
      <c r="K150" s="784">
        <v>0.22500000000000001</v>
      </c>
      <c r="L150" s="784">
        <v>0.22500000000000001</v>
      </c>
      <c r="M150" s="784">
        <v>0.22500000000000001</v>
      </c>
      <c r="N150" s="800"/>
      <c r="P150" s="773"/>
    </row>
    <row r="151" spans="1:16" ht="13.5" thickBot="1" x14ac:dyDescent="0.25">
      <c r="A151" s="763">
        <f t="shared" ref="A151:M151" si="44">A149*A150</f>
        <v>1297170.2250000001</v>
      </c>
      <c r="B151" s="772">
        <f t="shared" si="44"/>
        <v>63772.868249999992</v>
      </c>
      <c r="C151" s="772">
        <f t="shared" si="44"/>
        <v>106129.89000000001</v>
      </c>
      <c r="D151" s="772">
        <f t="shared" si="44"/>
        <v>100758.66075000001</v>
      </c>
      <c r="E151" s="772">
        <f t="shared" si="44"/>
        <v>92521.147499999992</v>
      </c>
      <c r="F151" s="772">
        <f t="shared" si="44"/>
        <v>151728.70275000003</v>
      </c>
      <c r="G151" s="772">
        <f t="shared" si="44"/>
        <v>110455.82775</v>
      </c>
      <c r="H151" s="772">
        <f t="shared" si="44"/>
        <v>105376.21649999999</v>
      </c>
      <c r="I151" s="772">
        <f t="shared" si="44"/>
        <v>71916.444000000003</v>
      </c>
      <c r="J151" s="772">
        <f t="shared" si="44"/>
        <v>78727.403250000003</v>
      </c>
      <c r="K151" s="772">
        <f t="shared" si="44"/>
        <v>142565.05350000001</v>
      </c>
      <c r="L151" s="772">
        <f t="shared" si="44"/>
        <v>146031.42150000003</v>
      </c>
      <c r="M151" s="799">
        <f t="shared" si="44"/>
        <v>127186.58925</v>
      </c>
      <c r="N151" s="800">
        <f>SUM(B151)</f>
        <v>63772.868249999992</v>
      </c>
      <c r="P151" s="773"/>
    </row>
    <row r="152" spans="1:16" x14ac:dyDescent="0.2">
      <c r="C152" s="776"/>
      <c r="D152" s="776"/>
      <c r="E152" s="776"/>
      <c r="F152" s="776"/>
      <c r="G152" s="776"/>
      <c r="P152" s="773"/>
    </row>
    <row r="153" spans="1:16" x14ac:dyDescent="0.2">
      <c r="D153" s="776"/>
      <c r="P153" s="773"/>
    </row>
    <row r="154" spans="1:16" x14ac:dyDescent="0.2">
      <c r="P154" s="773"/>
    </row>
    <row r="155" spans="1:16" x14ac:dyDescent="0.2">
      <c r="A155" s="1078" t="s">
        <v>457</v>
      </c>
      <c r="B155" s="1078"/>
      <c r="C155" s="1078"/>
      <c r="D155" s="1078"/>
      <c r="E155" s="1078"/>
      <c r="F155" s="1078"/>
      <c r="G155" s="1078"/>
      <c r="H155" s="1078"/>
      <c r="I155" s="1078"/>
      <c r="J155" s="1078"/>
      <c r="K155" s="1078"/>
      <c r="L155" s="1078"/>
      <c r="M155" s="1078"/>
      <c r="P155" s="773"/>
    </row>
    <row r="156" spans="1:16" ht="13.5" thickBot="1" x14ac:dyDescent="0.25">
      <c r="A156" s="1079" t="s">
        <v>458</v>
      </c>
      <c r="B156" s="1080"/>
      <c r="C156" s="1080"/>
      <c r="D156" s="1080"/>
      <c r="E156" s="1080"/>
      <c r="F156" s="1080"/>
      <c r="G156" s="1080"/>
      <c r="H156" s="1080"/>
      <c r="I156" s="1080"/>
      <c r="J156" s="1080"/>
      <c r="K156" s="1080"/>
      <c r="L156" s="1080"/>
      <c r="M156" s="1080"/>
      <c r="P156" s="773"/>
    </row>
    <row r="157" spans="1:16" ht="13.5" thickBot="1" x14ac:dyDescent="0.25">
      <c r="A157" s="761" t="s">
        <v>441</v>
      </c>
      <c r="B157" s="762" t="s">
        <v>1</v>
      </c>
      <c r="C157" s="762" t="s">
        <v>2</v>
      </c>
      <c r="D157" s="762" t="s">
        <v>3</v>
      </c>
      <c r="E157" s="762" t="s">
        <v>4</v>
      </c>
      <c r="F157" s="762" t="s">
        <v>5</v>
      </c>
      <c r="G157" s="762" t="s">
        <v>6</v>
      </c>
      <c r="H157" s="762" t="s">
        <v>7</v>
      </c>
      <c r="I157" s="762" t="s">
        <v>8</v>
      </c>
      <c r="J157" s="762" t="s">
        <v>9</v>
      </c>
      <c r="K157" s="762" t="s">
        <v>10</v>
      </c>
      <c r="L157" s="762" t="s">
        <v>11</v>
      </c>
      <c r="M157" s="762" t="s">
        <v>12</v>
      </c>
      <c r="P157" s="773"/>
    </row>
    <row r="158" spans="1:16" ht="13.5" thickBot="1" x14ac:dyDescent="0.25">
      <c r="A158" s="801">
        <f>SUM(B158:M158)</f>
        <v>6635314</v>
      </c>
      <c r="B158" s="772">
        <v>993013.94</v>
      </c>
      <c r="C158" s="772">
        <v>1212909.8799999999</v>
      </c>
      <c r="D158" s="772">
        <v>961920.4</v>
      </c>
      <c r="E158" s="772">
        <v>673005.61</v>
      </c>
      <c r="F158" s="772">
        <v>533326.06000000006</v>
      </c>
      <c r="G158" s="772">
        <v>411283.42</v>
      </c>
      <c r="H158" s="772">
        <v>483729.08</v>
      </c>
      <c r="I158" s="772">
        <v>334253.59000000003</v>
      </c>
      <c r="J158" s="772">
        <v>288235.57</v>
      </c>
      <c r="K158" s="772">
        <v>249928.42</v>
      </c>
      <c r="L158" s="772">
        <v>210886.65</v>
      </c>
      <c r="M158" s="772">
        <v>282821.38</v>
      </c>
      <c r="N158" s="667"/>
      <c r="O158" s="667"/>
      <c r="P158" s="773"/>
    </row>
    <row r="159" spans="1:16" ht="13.5" thickBot="1" x14ac:dyDescent="0.25">
      <c r="A159" s="802">
        <f>SUM(B159:M159)</f>
        <v>121852.99999999999</v>
      </c>
      <c r="B159" s="772">
        <v>36353.08</v>
      </c>
      <c r="C159" s="772">
        <v>15399.79</v>
      </c>
      <c r="D159" s="772">
        <v>24746.91</v>
      </c>
      <c r="E159" s="772">
        <v>2842</v>
      </c>
      <c r="F159" s="772">
        <v>5095.29</v>
      </c>
      <c r="G159" s="772">
        <v>6608.26</v>
      </c>
      <c r="H159" s="772">
        <v>7421.16</v>
      </c>
      <c r="I159" s="772">
        <v>6093.75</v>
      </c>
      <c r="J159" s="772">
        <v>5413.76</v>
      </c>
      <c r="K159" s="772">
        <v>8187.66</v>
      </c>
      <c r="L159" s="772">
        <v>1998.98</v>
      </c>
      <c r="M159" s="772">
        <v>1692.36</v>
      </c>
      <c r="N159" s="667"/>
      <c r="O159" s="667"/>
      <c r="P159" s="667"/>
    </row>
    <row r="160" spans="1:16" ht="13.5" thickBot="1" x14ac:dyDescent="0.25">
      <c r="A160" s="802">
        <f>SUM(B160:M160)</f>
        <v>5741179</v>
      </c>
      <c r="B160" s="772">
        <v>662198.65</v>
      </c>
      <c r="C160" s="772">
        <v>474668.01</v>
      </c>
      <c r="D160" s="772">
        <v>411294.56</v>
      </c>
      <c r="E160" s="772">
        <v>524286.97</v>
      </c>
      <c r="F160" s="772">
        <v>443431.36</v>
      </c>
      <c r="G160" s="772">
        <v>356999.6</v>
      </c>
      <c r="H160" s="772">
        <v>274552.81</v>
      </c>
      <c r="I160" s="772">
        <v>452725.87</v>
      </c>
      <c r="J160" s="772">
        <v>354055.85</v>
      </c>
      <c r="K160" s="772">
        <v>812419.43</v>
      </c>
      <c r="L160" s="772">
        <v>420675.18</v>
      </c>
      <c r="M160" s="772">
        <v>553870.71000000008</v>
      </c>
      <c r="N160" s="667"/>
      <c r="O160" s="667"/>
    </row>
    <row r="161" spans="1:18" ht="13.5" thickBot="1" x14ac:dyDescent="0.25">
      <c r="A161" s="803" t="s">
        <v>459</v>
      </c>
      <c r="N161" s="667"/>
    </row>
    <row r="162" spans="1:18" ht="13.5" thickBot="1" x14ac:dyDescent="0.25">
      <c r="A162" s="804">
        <f>SUM(B162:M162)</f>
        <v>12498346</v>
      </c>
      <c r="B162" s="805">
        <f>SUM(B158:B160)</f>
        <v>1691565.67</v>
      </c>
      <c r="C162" s="805">
        <f t="shared" ref="C162:M162" si="45">SUM(C158:C160)</f>
        <v>1702977.68</v>
      </c>
      <c r="D162" s="805">
        <f t="shared" si="45"/>
        <v>1397961.87</v>
      </c>
      <c r="E162" s="805">
        <f t="shared" si="45"/>
        <v>1200134.58</v>
      </c>
      <c r="F162" s="805">
        <f t="shared" si="45"/>
        <v>981852.71000000008</v>
      </c>
      <c r="G162" s="805">
        <f t="shared" si="45"/>
        <v>774891.28</v>
      </c>
      <c r="H162" s="805">
        <f t="shared" si="45"/>
        <v>765703.05</v>
      </c>
      <c r="I162" s="805">
        <f t="shared" si="45"/>
        <v>793073.21</v>
      </c>
      <c r="J162" s="805">
        <f t="shared" si="45"/>
        <v>647705.17999999993</v>
      </c>
      <c r="K162" s="805">
        <f t="shared" si="45"/>
        <v>1070535.51</v>
      </c>
      <c r="L162" s="805">
        <f t="shared" si="45"/>
        <v>633560.81000000006</v>
      </c>
      <c r="M162" s="805">
        <f t="shared" si="45"/>
        <v>838384.45000000007</v>
      </c>
      <c r="N162" s="800">
        <f>SUM(B162)</f>
        <v>1691565.67</v>
      </c>
    </row>
    <row r="163" spans="1:18" x14ac:dyDescent="0.2">
      <c r="N163" s="806"/>
    </row>
    <row r="164" spans="1:18" x14ac:dyDescent="0.2">
      <c r="N164" s="774"/>
    </row>
    <row r="165" spans="1:18" x14ac:dyDescent="0.2">
      <c r="A165" s="1078" t="s">
        <v>460</v>
      </c>
      <c r="B165" s="1078"/>
      <c r="C165" s="1078"/>
      <c r="D165" s="1078"/>
      <c r="E165" s="1078"/>
      <c r="F165" s="1078"/>
      <c r="G165" s="1078"/>
      <c r="H165" s="1078"/>
      <c r="I165" s="1078"/>
      <c r="J165" s="1078"/>
      <c r="K165" s="1078"/>
      <c r="L165" s="1078"/>
      <c r="M165" s="1078"/>
      <c r="N165" s="774"/>
      <c r="O165" s="1081" t="s">
        <v>461</v>
      </c>
      <c r="P165" s="1081"/>
      <c r="Q165" s="1081"/>
      <c r="R165" s="1081"/>
    </row>
    <row r="166" spans="1:18" ht="13.5" thickBot="1" x14ac:dyDescent="0.25">
      <c r="N166" s="774"/>
      <c r="O166" s="1081"/>
      <c r="P166" s="1081"/>
      <c r="Q166" s="1081"/>
      <c r="R166" s="1081"/>
    </row>
    <row r="167" spans="1:18" ht="13.5" thickBot="1" x14ac:dyDescent="0.25">
      <c r="A167" s="761" t="s">
        <v>441</v>
      </c>
      <c r="B167" s="762" t="s">
        <v>1</v>
      </c>
      <c r="C167" s="762" t="s">
        <v>2</v>
      </c>
      <c r="D167" s="762" t="s">
        <v>3</v>
      </c>
      <c r="E167" s="762" t="s">
        <v>4</v>
      </c>
      <c r="F167" s="762" t="s">
        <v>5</v>
      </c>
      <c r="G167" s="762" t="s">
        <v>6</v>
      </c>
      <c r="H167" s="762" t="s">
        <v>7</v>
      </c>
      <c r="I167" s="762" t="s">
        <v>8</v>
      </c>
      <c r="J167" s="762" t="s">
        <v>9</v>
      </c>
      <c r="K167" s="762" t="s">
        <v>10</v>
      </c>
      <c r="L167" s="762" t="s">
        <v>11</v>
      </c>
      <c r="M167" s="762" t="s">
        <v>12</v>
      </c>
      <c r="N167" s="807"/>
      <c r="O167" s="1081"/>
      <c r="P167" s="1081"/>
      <c r="Q167" s="1081"/>
      <c r="R167" s="1081"/>
    </row>
    <row r="168" spans="1:18" ht="13.5" thickBot="1" x14ac:dyDescent="0.25">
      <c r="A168" s="772">
        <f>B168+C168+D168+E168+F168+G168+H168+I168+J168+K168+L168+M168</f>
        <v>643743232</v>
      </c>
      <c r="B168" s="772">
        <v>64374323</v>
      </c>
      <c r="C168" s="772">
        <v>64374323</v>
      </c>
      <c r="D168" s="772">
        <v>64374323</v>
      </c>
      <c r="E168" s="772">
        <v>64374323</v>
      </c>
      <c r="F168" s="772">
        <v>64374323</v>
      </c>
      <c r="G168" s="772">
        <v>64374323</v>
      </c>
      <c r="H168" s="772">
        <v>64374323</v>
      </c>
      <c r="I168" s="772">
        <v>64374323</v>
      </c>
      <c r="J168" s="772">
        <v>64374323</v>
      </c>
      <c r="K168" s="772">
        <v>64374325</v>
      </c>
      <c r="L168" s="772">
        <v>0</v>
      </c>
      <c r="M168" s="772">
        <v>0</v>
      </c>
      <c r="N168" s="800">
        <f>SUM(B168)</f>
        <v>64374323</v>
      </c>
      <c r="O168" s="1081"/>
      <c r="P168" s="1081"/>
      <c r="Q168" s="1081"/>
      <c r="R168" s="1081"/>
    </row>
    <row r="169" spans="1:18" x14ac:dyDescent="0.2">
      <c r="N169" s="806"/>
      <c r="O169" s="1081"/>
      <c r="P169" s="1081"/>
      <c r="Q169" s="1081"/>
      <c r="R169" s="1081"/>
    </row>
    <row r="170" spans="1:18" x14ac:dyDescent="0.2">
      <c r="N170" s="774"/>
      <c r="O170" s="1081"/>
      <c r="P170" s="1081"/>
      <c r="Q170" s="1081"/>
      <c r="R170" s="1081"/>
    </row>
    <row r="171" spans="1:18" x14ac:dyDescent="0.2">
      <c r="A171" s="1078" t="s">
        <v>462</v>
      </c>
      <c r="B171" s="1078"/>
      <c r="C171" s="1078"/>
      <c r="D171" s="1078"/>
      <c r="E171" s="1078"/>
      <c r="F171" s="1078"/>
      <c r="G171" s="1078"/>
      <c r="H171" s="1078"/>
      <c r="I171" s="1078"/>
      <c r="J171" s="1078"/>
      <c r="K171" s="1078"/>
      <c r="L171" s="1078"/>
      <c r="M171" s="1078"/>
      <c r="N171" s="774"/>
      <c r="O171" s="1081"/>
      <c r="P171" s="1081"/>
      <c r="Q171" s="1081"/>
      <c r="R171" s="1081"/>
    </row>
    <row r="172" spans="1:18" ht="13.5" thickBot="1" x14ac:dyDescent="0.25">
      <c r="N172" s="774"/>
      <c r="O172" s="1081"/>
      <c r="P172" s="1081"/>
      <c r="Q172" s="1081"/>
      <c r="R172" s="1081"/>
    </row>
    <row r="173" spans="1:18" ht="13.5" thickBot="1" x14ac:dyDescent="0.25">
      <c r="A173" s="761" t="s">
        <v>441</v>
      </c>
      <c r="B173" s="762" t="s">
        <v>1</v>
      </c>
      <c r="C173" s="762" t="s">
        <v>2</v>
      </c>
      <c r="D173" s="762" t="s">
        <v>3</v>
      </c>
      <c r="E173" s="762" t="s">
        <v>4</v>
      </c>
      <c r="F173" s="762" t="s">
        <v>5</v>
      </c>
      <c r="G173" s="762" t="s">
        <v>6</v>
      </c>
      <c r="H173" s="762" t="s">
        <v>7</v>
      </c>
      <c r="I173" s="762" t="s">
        <v>8</v>
      </c>
      <c r="J173" s="762" t="s">
        <v>9</v>
      </c>
      <c r="K173" s="762" t="s">
        <v>10</v>
      </c>
      <c r="L173" s="762" t="s">
        <v>11</v>
      </c>
      <c r="M173" s="762" t="s">
        <v>12</v>
      </c>
      <c r="N173" s="807"/>
      <c r="O173" s="1081"/>
      <c r="P173" s="1081"/>
      <c r="Q173" s="1081"/>
      <c r="R173" s="1081"/>
    </row>
    <row r="174" spans="1:18" ht="13.5" thickBot="1" x14ac:dyDescent="0.25">
      <c r="A174" s="772">
        <f>B174+C174+D174+E174+F174+G174+H174+I174+J174+K174+L174+M174</f>
        <v>753812571</v>
      </c>
      <c r="B174" s="772">
        <v>62817714</v>
      </c>
      <c r="C174" s="772">
        <v>62817714</v>
      </c>
      <c r="D174" s="772">
        <v>62817714</v>
      </c>
      <c r="E174" s="772">
        <v>62817714</v>
      </c>
      <c r="F174" s="772">
        <v>62817714</v>
      </c>
      <c r="G174" s="772">
        <v>62817714</v>
      </c>
      <c r="H174" s="772">
        <v>62817714</v>
      </c>
      <c r="I174" s="772">
        <v>62817714</v>
      </c>
      <c r="J174" s="772">
        <v>62817714</v>
      </c>
      <c r="K174" s="772">
        <v>62817714</v>
      </c>
      <c r="L174" s="772">
        <v>62817714</v>
      </c>
      <c r="M174" s="772">
        <v>62817717</v>
      </c>
      <c r="N174" s="800">
        <f>SUM(B174)</f>
        <v>62817714</v>
      </c>
    </row>
    <row r="176" spans="1:18" ht="13.5" thickBot="1" x14ac:dyDescent="0.25"/>
    <row r="177" spans="1:14" ht="13.5" thickBot="1" x14ac:dyDescent="0.25">
      <c r="C177" s="808"/>
      <c r="L177" s="809" t="s">
        <v>463</v>
      </c>
      <c r="M177" s="810"/>
      <c r="N177" s="811" t="e">
        <f>N10+N22+N36+N47+N59+N71+N108+N120+N130+N140</f>
        <v>#DIV/0!</v>
      </c>
    </row>
    <row r="178" spans="1:14" ht="13.5" thickBot="1" x14ac:dyDescent="0.25">
      <c r="B178" s="776"/>
      <c r="C178" s="776"/>
      <c r="E178" s="776"/>
      <c r="L178" s="803"/>
      <c r="M178" s="803"/>
      <c r="N178" s="812"/>
    </row>
    <row r="179" spans="1:14" ht="13.5" thickBot="1" x14ac:dyDescent="0.25">
      <c r="C179" s="776"/>
      <c r="E179" s="776"/>
      <c r="L179" s="809" t="s">
        <v>464</v>
      </c>
      <c r="M179" s="810"/>
      <c r="N179" s="811" t="e">
        <f>N13+N22+N38+N61+N73+N49+N122+N85+N97+N162+N168+N174+N151</f>
        <v>#DIV/0!</v>
      </c>
    </row>
    <row r="180" spans="1:14" x14ac:dyDescent="0.2">
      <c r="C180" s="808"/>
      <c r="E180" s="776"/>
    </row>
    <row r="182" spans="1:14" x14ac:dyDescent="0.2">
      <c r="A182" s="667">
        <f>SUM(B182:M182)</f>
        <v>8580312095</v>
      </c>
      <c r="B182" s="776">
        <f>B10+B22+B36+B59+B47+B120+B83+B95+B130+B140</f>
        <v>648205690.09734201</v>
      </c>
      <c r="C182" s="776">
        <f t="shared" ref="C182:M182" si="46">C10+C22+C36+C59+C47+C120+C83+C95+C130+C140</f>
        <v>827239355.0293479</v>
      </c>
      <c r="D182" s="776">
        <f t="shared" si="46"/>
        <v>669822463.12097192</v>
      </c>
      <c r="E182" s="776">
        <f t="shared" si="46"/>
        <v>886195759.58860302</v>
      </c>
      <c r="F182" s="776">
        <f t="shared" si="46"/>
        <v>709657775.7113235</v>
      </c>
      <c r="G182" s="776">
        <f t="shared" si="46"/>
        <v>738181522.03000355</v>
      </c>
      <c r="H182" s="776">
        <f t="shared" si="46"/>
        <v>741302363.83794546</v>
      </c>
      <c r="I182" s="776">
        <f t="shared" si="46"/>
        <v>719505349.64131892</v>
      </c>
      <c r="J182" s="776">
        <f t="shared" si="46"/>
        <v>674208452.98720157</v>
      </c>
      <c r="K182" s="776">
        <f t="shared" si="46"/>
        <v>632236460.59146786</v>
      </c>
      <c r="L182" s="776">
        <f t="shared" si="46"/>
        <v>678920461.45252109</v>
      </c>
      <c r="M182" s="776">
        <f t="shared" si="46"/>
        <v>654836440.91195333</v>
      </c>
    </row>
    <row r="187" spans="1:14" x14ac:dyDescent="0.2">
      <c r="A187" s="667">
        <f>SUM(B187:M187)</f>
        <v>2336343566.625</v>
      </c>
      <c r="B187" s="776">
        <f>B13+B22+B38+B61+B49+B122+B85+B97+B132+B142</f>
        <v>175270698.49828011</v>
      </c>
      <c r="C187" s="776">
        <f t="shared" ref="C187:M187" si="47">C13+C22+C38+C61+C49+C122+C85+C97+C132+C142</f>
        <v>226524181.44393557</v>
      </c>
      <c r="D187" s="776">
        <f t="shared" si="47"/>
        <v>182786569.42525896</v>
      </c>
      <c r="E187" s="776">
        <f t="shared" si="47"/>
        <v>241543138.67350706</v>
      </c>
      <c r="F187" s="776">
        <f t="shared" si="47"/>
        <v>194297748.60778877</v>
      </c>
      <c r="G187" s="776">
        <f t="shared" si="47"/>
        <v>202108280.29337347</v>
      </c>
      <c r="H187" s="776">
        <f t="shared" si="47"/>
        <v>200605249.42716387</v>
      </c>
      <c r="I187" s="776">
        <f t="shared" si="47"/>
        <v>196024140.69434986</v>
      </c>
      <c r="J187" s="776">
        <f t="shared" si="47"/>
        <v>183576387.58896479</v>
      </c>
      <c r="K187" s="776">
        <f t="shared" si="47"/>
        <v>170998081.9897517</v>
      </c>
      <c r="L187" s="776">
        <f t="shared" si="47"/>
        <v>184238720.57366136</v>
      </c>
      <c r="M187" s="776">
        <f t="shared" si="47"/>
        <v>178370369.40896469</v>
      </c>
    </row>
  </sheetData>
  <mergeCells count="36">
    <mergeCell ref="A8:M8"/>
    <mergeCell ref="A1:M1"/>
    <mergeCell ref="A2:M2"/>
    <mergeCell ref="A3:M3"/>
    <mergeCell ref="A4:M4"/>
    <mergeCell ref="A5:M5"/>
    <mergeCell ref="A79:M79"/>
    <mergeCell ref="A17:M17"/>
    <mergeCell ref="A18:M18"/>
    <mergeCell ref="A31:M31"/>
    <mergeCell ref="A32:M32"/>
    <mergeCell ref="A42:M42"/>
    <mergeCell ref="A43:M43"/>
    <mergeCell ref="A54:M54"/>
    <mergeCell ref="A55:M55"/>
    <mergeCell ref="A66:M66"/>
    <mergeCell ref="A67:M67"/>
    <mergeCell ref="A78:M78"/>
    <mergeCell ref="A137:M137"/>
    <mergeCell ref="A90:M90"/>
    <mergeCell ref="A91:M91"/>
    <mergeCell ref="A101:M101"/>
    <mergeCell ref="A103:M103"/>
    <mergeCell ref="A104:M104"/>
    <mergeCell ref="A115:M115"/>
    <mergeCell ref="A116:M116"/>
    <mergeCell ref="A117:M117"/>
    <mergeCell ref="A126:M126"/>
    <mergeCell ref="A127:M127"/>
    <mergeCell ref="A136:M136"/>
    <mergeCell ref="A146:M146"/>
    <mergeCell ref="A155:M155"/>
    <mergeCell ref="A156:M156"/>
    <mergeCell ref="A165:M165"/>
    <mergeCell ref="O165:R173"/>
    <mergeCell ref="A171:M171"/>
  </mergeCells>
  <printOptions horizontalCentered="1"/>
  <pageMargins left="0.15" right="0.55000000000000004" top="0.13" bottom="0.33" header="0" footer="0"/>
  <pageSetup paperSize="5" scale="85" orientation="landscape" r:id="rId1"/>
  <headerFooter alignWithMargins="0"/>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5">
    <tabColor theme="3" tint="0.79998168889431442"/>
    <pageSetUpPr fitToPage="1"/>
  </sheetPr>
  <dimension ref="B2:N56"/>
  <sheetViews>
    <sheetView topLeftCell="A32" zoomScaleNormal="100" workbookViewId="0">
      <selection activeCell="H33" sqref="H33"/>
    </sheetView>
  </sheetViews>
  <sheetFormatPr baseColWidth="10" defaultRowHeight="15" x14ac:dyDescent="0.25"/>
  <cols>
    <col min="1" max="1" width="3.5703125" customWidth="1"/>
    <col min="2" max="2" width="24.28515625" customWidth="1"/>
    <col min="3" max="3" width="15.85546875" customWidth="1"/>
    <col min="4" max="4" width="13.42578125" customWidth="1"/>
    <col min="5" max="6" width="15.7109375" customWidth="1"/>
    <col min="7" max="7" width="17.85546875" customWidth="1"/>
    <col min="8" max="8" width="19.28515625" customWidth="1"/>
    <col min="9" max="9" width="15.42578125" customWidth="1"/>
    <col min="10" max="11" width="12.42578125" bestFit="1" customWidth="1"/>
  </cols>
  <sheetData>
    <row r="2" spans="2:9" x14ac:dyDescent="0.25">
      <c r="B2" s="9"/>
      <c r="C2" s="9"/>
      <c r="D2" s="9"/>
      <c r="F2" s="256"/>
      <c r="G2" s="256" t="s">
        <v>214</v>
      </c>
    </row>
    <row r="3" spans="2:9" x14ac:dyDescent="0.25">
      <c r="B3" s="840" t="s">
        <v>0</v>
      </c>
      <c r="C3" s="840"/>
      <c r="D3" s="840"/>
      <c r="E3" s="840"/>
      <c r="F3" s="840"/>
      <c r="G3" s="840"/>
    </row>
    <row r="4" spans="2:9" x14ac:dyDescent="0.25">
      <c r="B4" s="1086" t="s">
        <v>215</v>
      </c>
      <c r="C4" s="1086"/>
      <c r="D4" s="1086"/>
      <c r="E4" s="1086"/>
      <c r="F4" s="1086"/>
      <c r="G4" s="1086"/>
      <c r="H4" s="276"/>
      <c r="I4" s="276"/>
    </row>
    <row r="5" spans="2:9" ht="15" customHeight="1" x14ac:dyDescent="0.25">
      <c r="B5" s="1087" t="s">
        <v>84</v>
      </c>
      <c r="C5" s="1090" t="s">
        <v>26</v>
      </c>
      <c r="D5" s="106"/>
      <c r="E5" s="1087" t="s">
        <v>27</v>
      </c>
      <c r="F5" s="277"/>
      <c r="G5" s="1087" t="s">
        <v>28</v>
      </c>
    </row>
    <row r="6" spans="2:9" ht="28.5" customHeight="1" x14ac:dyDescent="0.25">
      <c r="B6" s="1088"/>
      <c r="C6" s="1091"/>
      <c r="D6" s="23"/>
      <c r="E6" s="1088"/>
      <c r="F6" s="278"/>
      <c r="G6" s="1088"/>
    </row>
    <row r="7" spans="2:9" x14ac:dyDescent="0.25">
      <c r="B7" s="1088"/>
      <c r="C7" s="23" t="s">
        <v>216</v>
      </c>
      <c r="D7" s="23"/>
      <c r="E7" s="272"/>
      <c r="F7" s="272"/>
      <c r="G7" s="23" t="s">
        <v>42</v>
      </c>
    </row>
    <row r="8" spans="2:9" x14ac:dyDescent="0.25">
      <c r="B8" s="1089"/>
      <c r="C8" s="141" t="s">
        <v>71</v>
      </c>
      <c r="D8" s="141"/>
      <c r="E8" s="279" t="s">
        <v>217</v>
      </c>
      <c r="F8" s="272"/>
      <c r="G8" s="141" t="s">
        <v>218</v>
      </c>
    </row>
    <row r="9" spans="2:9" x14ac:dyDescent="0.25">
      <c r="B9" s="142" t="s">
        <v>46</v>
      </c>
      <c r="C9" s="280">
        <f>K36/H36</f>
        <v>1.0117560908965411</v>
      </c>
      <c r="D9" s="281"/>
      <c r="E9" s="282">
        <f>C9/C$29%</f>
        <v>4.7940132358696488</v>
      </c>
      <c r="F9" s="282">
        <f>E9*0.3</f>
        <v>1.4382039707608947</v>
      </c>
      <c r="G9" s="283">
        <f>Datos!$I$16*'FGP 30%'!E9%</f>
        <v>6670585.2698365068</v>
      </c>
      <c r="H9" s="284"/>
      <c r="I9" s="285"/>
    </row>
    <row r="10" spans="2:9" x14ac:dyDescent="0.25">
      <c r="B10" s="145" t="s">
        <v>47</v>
      </c>
      <c r="C10" s="286">
        <f t="shared" ref="C10:C28" si="0">K37/H37</f>
        <v>0.68911656120051457</v>
      </c>
      <c r="D10" s="287"/>
      <c r="E10" s="288">
        <f t="shared" ref="E10:E28" si="1">C10/C$29%</f>
        <v>3.2652473705641989</v>
      </c>
      <c r="F10" s="288">
        <f t="shared" ref="F10:F28" si="2">E10*0.3</f>
        <v>0.97957421116925958</v>
      </c>
      <c r="G10" s="289">
        <f>Datos!$I$16*'FGP 30%'!E10%</f>
        <v>4543398.1803570827</v>
      </c>
      <c r="H10" s="284"/>
      <c r="I10" s="285"/>
    </row>
    <row r="11" spans="2:9" x14ac:dyDescent="0.25">
      <c r="B11" s="145" t="s">
        <v>48</v>
      </c>
      <c r="C11" s="286">
        <f t="shared" si="0"/>
        <v>0.92233212869974268</v>
      </c>
      <c r="D11" s="287"/>
      <c r="E11" s="288">
        <f t="shared" si="1"/>
        <v>4.3702948493606257</v>
      </c>
      <c r="F11" s="288">
        <f t="shared" si="2"/>
        <v>1.3110884548081876</v>
      </c>
      <c r="G11" s="289">
        <f>Datos!$I$16*'FGP 30%'!E11%</f>
        <v>6081006.2493911758</v>
      </c>
      <c r="H11" s="284"/>
      <c r="I11" s="285"/>
    </row>
    <row r="12" spans="2:9" x14ac:dyDescent="0.25">
      <c r="B12" s="145" t="s">
        <v>49</v>
      </c>
      <c r="C12" s="286">
        <f t="shared" si="0"/>
        <v>1.102648023195093</v>
      </c>
      <c r="D12" s="287"/>
      <c r="E12" s="288">
        <f t="shared" si="1"/>
        <v>5.2246873186783906</v>
      </c>
      <c r="F12" s="288">
        <f t="shared" si="2"/>
        <v>1.5674061956035172</v>
      </c>
      <c r="G12" s="289">
        <f>Datos!$I$16*'FGP 30%'!E12%</f>
        <v>7269842.72940904</v>
      </c>
      <c r="H12" s="284"/>
      <c r="I12" s="290"/>
    </row>
    <row r="13" spans="2:9" x14ac:dyDescent="0.25">
      <c r="B13" s="145" t="s">
        <v>50</v>
      </c>
      <c r="C13" s="286">
        <f t="shared" si="0"/>
        <v>2.2969093042767339</v>
      </c>
      <c r="D13" s="287"/>
      <c r="E13" s="288">
        <f t="shared" si="1"/>
        <v>10.883466583865419</v>
      </c>
      <c r="F13" s="288">
        <f t="shared" si="2"/>
        <v>3.2650399751596253</v>
      </c>
      <c r="G13" s="289">
        <f>Datos!$I$16*'FGP 30%'!E13%</f>
        <v>15143698.673147449</v>
      </c>
      <c r="H13" s="284"/>
      <c r="I13" s="290"/>
    </row>
    <row r="14" spans="2:9" x14ac:dyDescent="0.25">
      <c r="B14" s="145" t="s">
        <v>51</v>
      </c>
      <c r="C14" s="286">
        <f t="shared" si="0"/>
        <v>0.81415050346292683</v>
      </c>
      <c r="D14" s="287"/>
      <c r="E14" s="288">
        <f t="shared" si="1"/>
        <v>3.857696854715869</v>
      </c>
      <c r="F14" s="288">
        <f t="shared" si="2"/>
        <v>1.1573090564147606</v>
      </c>
      <c r="G14" s="289">
        <f>Datos!$I$16*'FGP 30%'!E14%</f>
        <v>5367756.5222437764</v>
      </c>
      <c r="H14" s="284"/>
      <c r="I14" s="285"/>
    </row>
    <row r="15" spans="2:9" x14ac:dyDescent="0.25">
      <c r="B15" s="145" t="s">
        <v>52</v>
      </c>
      <c r="C15" s="286">
        <f t="shared" si="0"/>
        <v>1.079923655016104</v>
      </c>
      <c r="D15" s="287"/>
      <c r="E15" s="288">
        <f t="shared" si="1"/>
        <v>5.1170122349234575</v>
      </c>
      <c r="F15" s="288">
        <f t="shared" si="2"/>
        <v>1.5351036704770371</v>
      </c>
      <c r="G15" s="289">
        <f>Datos!$I$16*'FGP 30%'!E15%</f>
        <v>7120019.2324170098</v>
      </c>
      <c r="H15" s="284"/>
      <c r="I15" s="285"/>
    </row>
    <row r="16" spans="2:9" x14ac:dyDescent="0.25">
      <c r="B16" s="145" t="s">
        <v>53</v>
      </c>
      <c r="C16" s="286">
        <f t="shared" si="0"/>
        <v>1.017396826734013</v>
      </c>
      <c r="D16" s="287"/>
      <c r="E16" s="288">
        <f t="shared" si="1"/>
        <v>4.8207407866184875</v>
      </c>
      <c r="F16" s="288">
        <f t="shared" si="2"/>
        <v>1.4462222359855461</v>
      </c>
      <c r="G16" s="289">
        <f>Datos!$I$16*'FGP 30%'!E16%</f>
        <v>6707775.0725241648</v>
      </c>
      <c r="H16" s="284"/>
      <c r="I16" s="285"/>
    </row>
    <row r="17" spans="2:9" x14ac:dyDescent="0.25">
      <c r="B17" s="145" t="s">
        <v>54</v>
      </c>
      <c r="C17" s="286">
        <f t="shared" si="0"/>
        <v>1.254328494337615</v>
      </c>
      <c r="D17" s="287"/>
      <c r="E17" s="288">
        <f t="shared" si="1"/>
        <v>5.9433962968826552</v>
      </c>
      <c r="F17" s="288">
        <f t="shared" si="2"/>
        <v>1.7830188890647964</v>
      </c>
      <c r="G17" s="289">
        <f>Datos!$I$16*'FGP 30%'!E17%</f>
        <v>8269883.6736929426</v>
      </c>
      <c r="H17" s="284"/>
      <c r="I17" s="285"/>
    </row>
    <row r="18" spans="2:9" x14ac:dyDescent="0.25">
      <c r="B18" s="145" t="s">
        <v>55</v>
      </c>
      <c r="C18" s="286">
        <f t="shared" si="0"/>
        <v>0.23705883247675752</v>
      </c>
      <c r="D18" s="287"/>
      <c r="E18" s="288">
        <f t="shared" si="1"/>
        <v>1.1232580567578636</v>
      </c>
      <c r="F18" s="288">
        <f t="shared" si="2"/>
        <v>0.33697741702735906</v>
      </c>
      <c r="G18" s="289">
        <f>Datos!$I$16*'FGP 30%'!E18%</f>
        <v>1562947.0089009816</v>
      </c>
      <c r="H18" s="284"/>
      <c r="I18" s="285"/>
    </row>
    <row r="19" spans="2:9" x14ac:dyDescent="0.25">
      <c r="B19" s="145" t="s">
        <v>56</v>
      </c>
      <c r="C19" s="286">
        <f t="shared" si="0"/>
        <v>1.0787466508806087</v>
      </c>
      <c r="D19" s="287"/>
      <c r="E19" s="288">
        <f t="shared" si="1"/>
        <v>5.1114352253506885</v>
      </c>
      <c r="F19" s="288">
        <f t="shared" si="2"/>
        <v>1.5334305676052065</v>
      </c>
      <c r="G19" s="289">
        <f>Datos!$I$16*'FGP 30%'!E19%</f>
        <v>7112259.1541536665</v>
      </c>
      <c r="H19" s="284"/>
      <c r="I19" s="285"/>
    </row>
    <row r="20" spans="2:9" x14ac:dyDescent="0.25">
      <c r="B20" s="145" t="s">
        <v>57</v>
      </c>
      <c r="C20" s="286">
        <f t="shared" si="0"/>
        <v>1.2705910689983178</v>
      </c>
      <c r="D20" s="287"/>
      <c r="E20" s="288">
        <f t="shared" si="1"/>
        <v>6.0204534046917546</v>
      </c>
      <c r="F20" s="288">
        <f t="shared" si="2"/>
        <v>1.8061360214075264</v>
      </c>
      <c r="G20" s="289">
        <f>Datos!$I$16*'FGP 30%'!E20%</f>
        <v>8377104.0719266441</v>
      </c>
      <c r="H20" s="284"/>
      <c r="I20" s="285"/>
    </row>
    <row r="21" spans="2:9" x14ac:dyDescent="0.25">
      <c r="B21" s="145" t="s">
        <v>58</v>
      </c>
      <c r="C21" s="286">
        <f t="shared" si="0"/>
        <v>0.78155130569206754</v>
      </c>
      <c r="D21" s="287"/>
      <c r="E21" s="288">
        <f t="shared" si="1"/>
        <v>3.7032317746452885</v>
      </c>
      <c r="F21" s="288">
        <f t="shared" si="2"/>
        <v>1.1109695323935864</v>
      </c>
      <c r="G21" s="289">
        <f>Datos!$I$16*'FGP 30%'!E21%</f>
        <v>5152827.5186871113</v>
      </c>
      <c r="H21" s="284"/>
      <c r="I21" s="290"/>
    </row>
    <row r="22" spans="2:9" x14ac:dyDescent="0.25">
      <c r="B22" s="145" t="s">
        <v>59</v>
      </c>
      <c r="C22" s="286">
        <f t="shared" si="0"/>
        <v>1.1465356602060188</v>
      </c>
      <c r="D22" s="287"/>
      <c r="E22" s="288">
        <f t="shared" si="1"/>
        <v>5.4326405147248629</v>
      </c>
      <c r="F22" s="288">
        <f t="shared" si="2"/>
        <v>1.6297921544174587</v>
      </c>
      <c r="G22" s="289">
        <f>Datos!$I$16*'FGP 30%'!E22%</f>
        <v>7559197.276030642</v>
      </c>
      <c r="H22" s="284"/>
      <c r="I22" s="285"/>
    </row>
    <row r="23" spans="2:9" x14ac:dyDescent="0.25">
      <c r="B23" s="145" t="s">
        <v>60</v>
      </c>
      <c r="C23" s="286">
        <f t="shared" si="0"/>
        <v>0.61623771426773677</v>
      </c>
      <c r="D23" s="287"/>
      <c r="E23" s="288">
        <f t="shared" si="1"/>
        <v>2.9199248566161398</v>
      </c>
      <c r="F23" s="288">
        <f t="shared" si="2"/>
        <v>0.87597745698484186</v>
      </c>
      <c r="G23" s="289">
        <f>Datos!$I$16*'FGP 30%'!E23%</f>
        <v>4062902.3699472114</v>
      </c>
      <c r="H23" s="284"/>
      <c r="I23" s="285"/>
    </row>
    <row r="24" spans="2:9" x14ac:dyDescent="0.25">
      <c r="B24" s="145" t="s">
        <v>61</v>
      </c>
      <c r="C24" s="286">
        <f t="shared" si="0"/>
        <v>1.1004550702185867</v>
      </c>
      <c r="D24" s="287"/>
      <c r="E24" s="288">
        <f t="shared" si="1"/>
        <v>5.2142964293231353</v>
      </c>
      <c r="F24" s="288">
        <f t="shared" si="2"/>
        <v>1.5642889287969406</v>
      </c>
      <c r="G24" s="289">
        <f>Datos!$I$16*'FGP 30%'!E24%</f>
        <v>7255384.4227537615</v>
      </c>
      <c r="H24" s="284"/>
      <c r="I24" s="290"/>
    </row>
    <row r="25" spans="2:9" x14ac:dyDescent="0.25">
      <c r="B25" s="145" t="s">
        <v>62</v>
      </c>
      <c r="C25" s="286">
        <f t="shared" si="0"/>
        <v>1.1252666520120389</v>
      </c>
      <c r="D25" s="287"/>
      <c r="E25" s="288">
        <f t="shared" si="1"/>
        <v>5.3318613766369394</v>
      </c>
      <c r="F25" s="288">
        <f t="shared" si="2"/>
        <v>1.5995584129910818</v>
      </c>
      <c r="G25" s="289">
        <f>Datos!$I$16*'FGP 30%'!E25%</f>
        <v>7418969.0787019012</v>
      </c>
      <c r="H25" s="284"/>
      <c r="I25" s="285"/>
    </row>
    <row r="26" spans="2:9" x14ac:dyDescent="0.25">
      <c r="B26" s="145" t="s">
        <v>63</v>
      </c>
      <c r="C26" s="286">
        <f t="shared" si="0"/>
        <v>1.1554613246191305</v>
      </c>
      <c r="D26" s="287"/>
      <c r="E26" s="288">
        <f t="shared" si="1"/>
        <v>5.4749330729020729</v>
      </c>
      <c r="F26" s="288">
        <f t="shared" si="2"/>
        <v>1.6424799218706219</v>
      </c>
      <c r="G26" s="289">
        <f>Datos!$I$16*'FGP 30%'!E26%</f>
        <v>7618044.8639950966</v>
      </c>
      <c r="H26" s="284"/>
      <c r="I26" s="290"/>
    </row>
    <row r="27" spans="2:9" x14ac:dyDescent="0.25">
      <c r="B27" s="145" t="s">
        <v>64</v>
      </c>
      <c r="C27" s="286">
        <f t="shared" si="0"/>
        <v>1.1953520018808923</v>
      </c>
      <c r="D27" s="287"/>
      <c r="E27" s="288">
        <f t="shared" si="1"/>
        <v>5.6639474376302665</v>
      </c>
      <c r="F27" s="288">
        <f t="shared" si="2"/>
        <v>1.6991842312890799</v>
      </c>
      <c r="G27" s="289">
        <f>Datos!$I$16*'FGP 30%'!E27%</f>
        <v>7881047.1493683597</v>
      </c>
      <c r="H27" s="284"/>
      <c r="I27" s="285"/>
    </row>
    <row r="28" spans="2:9" x14ac:dyDescent="0.25">
      <c r="B28" s="145" t="s">
        <v>65</v>
      </c>
      <c r="C28" s="286">
        <f t="shared" si="0"/>
        <v>1.2087565473361801</v>
      </c>
      <c r="D28" s="287"/>
      <c r="E28" s="288">
        <f t="shared" si="1"/>
        <v>5.7274623192422194</v>
      </c>
      <c r="F28" s="291">
        <f t="shared" si="2"/>
        <v>1.7182386957726659</v>
      </c>
      <c r="G28" s="351">
        <f>Datos!$I$16*'FGP 30%'!E28%</f>
        <v>7969424.3425154388</v>
      </c>
      <c r="H28" s="292"/>
      <c r="I28" s="285"/>
    </row>
    <row r="29" spans="2:9" x14ac:dyDescent="0.25">
      <c r="B29" s="147" t="s">
        <v>66</v>
      </c>
      <c r="C29" s="293">
        <f t="shared" ref="C29:E29" si="3">SUM(C9:C28)</f>
        <v>21.104574416407623</v>
      </c>
      <c r="D29" s="294"/>
      <c r="E29" s="295">
        <f t="shared" si="3"/>
        <v>99.999999999999986</v>
      </c>
      <c r="F29" s="296">
        <f>SUM(F9:F28)</f>
        <v>29.999999999999993</v>
      </c>
      <c r="G29" s="297">
        <f>SUM(G9:G28)</f>
        <v>139144072.85999995</v>
      </c>
    </row>
    <row r="30" spans="2:9" x14ac:dyDescent="0.25">
      <c r="B30" s="9"/>
      <c r="C30" s="9"/>
      <c r="D30" s="9"/>
    </row>
    <row r="31" spans="2:9" x14ac:dyDescent="0.25">
      <c r="B31" s="9" t="s">
        <v>197</v>
      </c>
      <c r="C31" s="9"/>
      <c r="D31" s="9"/>
    </row>
    <row r="33" spans="2:14" ht="15.75" thickBot="1" x14ac:dyDescent="0.3"/>
    <row r="34" spans="2:14" x14ac:dyDescent="0.25">
      <c r="B34" s="1037" t="s">
        <v>14</v>
      </c>
      <c r="C34" s="260"/>
      <c r="D34" s="259"/>
      <c r="E34" s="259"/>
      <c r="F34" s="1012">
        <v>2018</v>
      </c>
      <c r="G34" s="1013"/>
      <c r="H34" s="1014"/>
      <c r="I34" s="1012">
        <v>2019</v>
      </c>
      <c r="J34" s="1013"/>
      <c r="K34" s="1015"/>
      <c r="L34" s="77"/>
      <c r="M34" s="77"/>
      <c r="N34" s="77"/>
    </row>
    <row r="35" spans="2:14" ht="15.75" thickBot="1" x14ac:dyDescent="0.3">
      <c r="B35" s="1037"/>
      <c r="C35" s="257"/>
      <c r="D35" s="257"/>
      <c r="E35" s="257"/>
      <c r="F35" s="195" t="s">
        <v>263</v>
      </c>
      <c r="G35" s="191" t="s">
        <v>271</v>
      </c>
      <c r="H35" s="191" t="s">
        <v>83</v>
      </c>
      <c r="I35" s="195" t="s">
        <v>263</v>
      </c>
      <c r="J35" s="191" t="s">
        <v>271</v>
      </c>
      <c r="K35" s="474" t="s">
        <v>83</v>
      </c>
      <c r="L35" s="77"/>
      <c r="M35" s="77"/>
      <c r="N35" s="77"/>
    </row>
    <row r="36" spans="2:14" x14ac:dyDescent="0.25">
      <c r="B36" s="50" t="s">
        <v>147</v>
      </c>
      <c r="C36" s="250"/>
      <c r="D36" s="50"/>
      <c r="E36" s="50"/>
      <c r="F36" s="466">
        <v>3847011</v>
      </c>
      <c r="G36" s="466">
        <v>7359180</v>
      </c>
      <c r="H36" s="467">
        <f t="shared" ref="H36:H55" si="4">F36+G36</f>
        <v>11206191</v>
      </c>
      <c r="I36" s="468">
        <v>3943293</v>
      </c>
      <c r="J36" s="466">
        <v>7394639</v>
      </c>
      <c r="K36" s="467">
        <f t="shared" ref="K36:K55" si="5">I36+J36</f>
        <v>11337932</v>
      </c>
    </row>
    <row r="37" spans="2:14" x14ac:dyDescent="0.25">
      <c r="B37" s="50" t="s">
        <v>148</v>
      </c>
      <c r="C37" s="250"/>
      <c r="D37" s="50"/>
      <c r="E37" s="50"/>
      <c r="F37" s="172">
        <v>2203748</v>
      </c>
      <c r="G37" s="172">
        <v>4292333</v>
      </c>
      <c r="H37" s="471">
        <f t="shared" si="4"/>
        <v>6496081</v>
      </c>
      <c r="I37" s="472">
        <v>2484812</v>
      </c>
      <c r="J37" s="172">
        <v>1991745</v>
      </c>
      <c r="K37" s="471">
        <f t="shared" si="5"/>
        <v>4476557</v>
      </c>
    </row>
    <row r="38" spans="2:14" x14ac:dyDescent="0.25">
      <c r="B38" s="50" t="s">
        <v>149</v>
      </c>
      <c r="C38" s="250"/>
      <c r="D38" s="50"/>
      <c r="E38" s="50"/>
      <c r="F38" s="172">
        <v>2211427</v>
      </c>
      <c r="G38" s="172">
        <v>1095526</v>
      </c>
      <c r="H38" s="471">
        <f t="shared" si="4"/>
        <v>3306953</v>
      </c>
      <c r="I38" s="472">
        <v>1759056</v>
      </c>
      <c r="J38" s="172">
        <v>1291053</v>
      </c>
      <c r="K38" s="471">
        <f t="shared" si="5"/>
        <v>3050109</v>
      </c>
    </row>
    <row r="39" spans="2:14" x14ac:dyDescent="0.25">
      <c r="B39" s="50" t="s">
        <v>150</v>
      </c>
      <c r="C39" s="250"/>
      <c r="D39" s="50"/>
      <c r="E39" s="50"/>
      <c r="F39" s="172">
        <v>170774917</v>
      </c>
      <c r="G39" s="172">
        <v>122745095</v>
      </c>
      <c r="H39" s="471">
        <f t="shared" si="4"/>
        <v>293520012</v>
      </c>
      <c r="I39" s="472">
        <v>189694088</v>
      </c>
      <c r="J39" s="172">
        <v>133955173</v>
      </c>
      <c r="K39" s="471">
        <f t="shared" si="5"/>
        <v>323649261</v>
      </c>
    </row>
    <row r="40" spans="2:14" x14ac:dyDescent="0.25">
      <c r="B40" s="50" t="s">
        <v>151</v>
      </c>
      <c r="C40" s="250"/>
      <c r="D40" s="50"/>
      <c r="E40" s="50"/>
      <c r="F40" s="172">
        <v>15746604</v>
      </c>
      <c r="G40" s="172">
        <v>10379876</v>
      </c>
      <c r="H40" s="471">
        <f t="shared" si="4"/>
        <v>26126480</v>
      </c>
      <c r="I40" s="472">
        <v>49961238</v>
      </c>
      <c r="J40" s="172">
        <v>10048917</v>
      </c>
      <c r="K40" s="471">
        <f t="shared" si="5"/>
        <v>60010155</v>
      </c>
    </row>
    <row r="41" spans="2:14" x14ac:dyDescent="0.25">
      <c r="B41" s="50" t="s">
        <v>152</v>
      </c>
      <c r="C41" s="250"/>
      <c r="D41" s="50"/>
      <c r="E41" s="50"/>
      <c r="F41" s="172">
        <v>33467</v>
      </c>
      <c r="G41" s="172">
        <v>82331</v>
      </c>
      <c r="H41" s="471">
        <f t="shared" si="4"/>
        <v>115798</v>
      </c>
      <c r="I41" s="472">
        <v>38654</v>
      </c>
      <c r="J41" s="172">
        <v>55623</v>
      </c>
      <c r="K41" s="471">
        <f t="shared" si="5"/>
        <v>94277</v>
      </c>
    </row>
    <row r="42" spans="2:14" x14ac:dyDescent="0.25">
      <c r="B42" s="50" t="s">
        <v>153</v>
      </c>
      <c r="C42" s="250"/>
      <c r="D42" s="50"/>
      <c r="E42" s="50"/>
      <c r="F42" s="172">
        <v>13603</v>
      </c>
      <c r="G42" s="172">
        <v>78610</v>
      </c>
      <c r="H42" s="471">
        <f t="shared" si="4"/>
        <v>92213</v>
      </c>
      <c r="I42" s="472">
        <v>12474</v>
      </c>
      <c r="J42" s="172">
        <v>87109</v>
      </c>
      <c r="K42" s="471">
        <f t="shared" si="5"/>
        <v>99583</v>
      </c>
    </row>
    <row r="43" spans="2:14" x14ac:dyDescent="0.25">
      <c r="B43" s="50" t="s">
        <v>154</v>
      </c>
      <c r="C43" s="250"/>
      <c r="D43" s="50"/>
      <c r="E43" s="50"/>
      <c r="F43" s="172">
        <v>5696258</v>
      </c>
      <c r="G43" s="172">
        <v>5984263</v>
      </c>
      <c r="H43" s="471">
        <f t="shared" si="4"/>
        <v>11680521</v>
      </c>
      <c r="I43" s="472">
        <v>4907652</v>
      </c>
      <c r="J43" s="172">
        <v>6976073</v>
      </c>
      <c r="K43" s="471">
        <f t="shared" si="5"/>
        <v>11883725</v>
      </c>
    </row>
    <row r="44" spans="2:14" x14ac:dyDescent="0.25">
      <c r="B44" s="50" t="s">
        <v>155</v>
      </c>
      <c r="C44" s="250"/>
      <c r="D44" s="50"/>
      <c r="E44" s="50"/>
      <c r="F44" s="172">
        <v>2229122</v>
      </c>
      <c r="G44" s="172">
        <v>1191698</v>
      </c>
      <c r="H44" s="471">
        <f t="shared" si="4"/>
        <v>3420820</v>
      </c>
      <c r="I44" s="472">
        <v>1978012</v>
      </c>
      <c r="J44" s="172">
        <v>2312820</v>
      </c>
      <c r="K44" s="471">
        <f t="shared" si="5"/>
        <v>4290832</v>
      </c>
    </row>
    <row r="45" spans="2:14" x14ac:dyDescent="0.25">
      <c r="B45" s="50" t="s">
        <v>156</v>
      </c>
      <c r="C45" s="250"/>
      <c r="D45" s="50"/>
      <c r="E45" s="50"/>
      <c r="F45" s="172">
        <v>2096161</v>
      </c>
      <c r="G45" s="172">
        <v>270627</v>
      </c>
      <c r="H45" s="471">
        <f t="shared" si="4"/>
        <v>2366788</v>
      </c>
      <c r="I45" s="472">
        <v>246157</v>
      </c>
      <c r="J45" s="172">
        <v>314911</v>
      </c>
      <c r="K45" s="471">
        <f t="shared" si="5"/>
        <v>561068</v>
      </c>
    </row>
    <row r="46" spans="2:14" x14ac:dyDescent="0.25">
      <c r="B46" s="50" t="s">
        <v>157</v>
      </c>
      <c r="C46" s="250"/>
      <c r="D46" s="50"/>
      <c r="E46" s="50"/>
      <c r="F46" s="172">
        <v>1480024</v>
      </c>
      <c r="G46" s="172">
        <v>857904</v>
      </c>
      <c r="H46" s="471">
        <f t="shared" si="4"/>
        <v>2337928</v>
      </c>
      <c r="I46" s="472">
        <v>1605974</v>
      </c>
      <c r="J46" s="172">
        <v>916058</v>
      </c>
      <c r="K46" s="471">
        <f t="shared" si="5"/>
        <v>2522032</v>
      </c>
    </row>
    <row r="47" spans="2:14" x14ac:dyDescent="0.25">
      <c r="B47" s="50" t="s">
        <v>158</v>
      </c>
      <c r="C47" s="250"/>
      <c r="D47" s="50"/>
      <c r="E47" s="50"/>
      <c r="F47" s="172">
        <v>532672</v>
      </c>
      <c r="G47" s="172">
        <v>2161785</v>
      </c>
      <c r="H47" s="471">
        <f t="shared" si="4"/>
        <v>2694457</v>
      </c>
      <c r="I47" s="472">
        <v>633445</v>
      </c>
      <c r="J47" s="172">
        <v>2790108</v>
      </c>
      <c r="K47" s="471">
        <f t="shared" si="5"/>
        <v>3423553</v>
      </c>
    </row>
    <row r="48" spans="2:14" x14ac:dyDescent="0.25">
      <c r="B48" s="50" t="s">
        <v>159</v>
      </c>
      <c r="C48" s="250"/>
      <c r="D48" s="50"/>
      <c r="E48" s="50"/>
      <c r="F48" s="172">
        <v>4431219</v>
      </c>
      <c r="G48" s="172">
        <v>2234250</v>
      </c>
      <c r="H48" s="471">
        <f t="shared" si="4"/>
        <v>6665469</v>
      </c>
      <c r="I48" s="472">
        <v>3131776</v>
      </c>
      <c r="J48" s="172">
        <v>2077630</v>
      </c>
      <c r="K48" s="471">
        <f t="shared" si="5"/>
        <v>5209406</v>
      </c>
    </row>
    <row r="49" spans="2:11" x14ac:dyDescent="0.25">
      <c r="B49" s="50" t="s">
        <v>160</v>
      </c>
      <c r="C49" s="250"/>
      <c r="D49" s="50"/>
      <c r="E49" s="50"/>
      <c r="F49" s="172">
        <v>1074974</v>
      </c>
      <c r="G49" s="172">
        <v>746412</v>
      </c>
      <c r="H49" s="471">
        <f t="shared" si="4"/>
        <v>1821386</v>
      </c>
      <c r="I49" s="472">
        <v>974991</v>
      </c>
      <c r="J49" s="172">
        <v>1113293</v>
      </c>
      <c r="K49" s="471">
        <f t="shared" si="5"/>
        <v>2088284</v>
      </c>
    </row>
    <row r="50" spans="2:11" x14ac:dyDescent="0.25">
      <c r="B50" s="50" t="s">
        <v>161</v>
      </c>
      <c r="C50" s="250"/>
      <c r="D50" s="50"/>
      <c r="E50" s="50"/>
      <c r="F50" s="172">
        <v>2058103</v>
      </c>
      <c r="G50" s="172">
        <v>2519056</v>
      </c>
      <c r="H50" s="471">
        <f t="shared" si="4"/>
        <v>4577159</v>
      </c>
      <c r="I50" s="472">
        <v>1585547</v>
      </c>
      <c r="J50" s="172">
        <v>1235071</v>
      </c>
      <c r="K50" s="471">
        <f t="shared" si="5"/>
        <v>2820618</v>
      </c>
    </row>
    <row r="51" spans="2:11" x14ac:dyDescent="0.25">
      <c r="B51" s="50" t="s">
        <v>162</v>
      </c>
      <c r="C51" s="250"/>
      <c r="D51" s="50"/>
      <c r="E51" s="50"/>
      <c r="F51" s="172">
        <v>4902160</v>
      </c>
      <c r="G51" s="172">
        <v>11312920</v>
      </c>
      <c r="H51" s="471">
        <f t="shared" si="4"/>
        <v>16215080</v>
      </c>
      <c r="I51" s="472">
        <v>3990729</v>
      </c>
      <c r="J51" s="172">
        <v>13853238</v>
      </c>
      <c r="K51" s="471">
        <f t="shared" si="5"/>
        <v>17843967</v>
      </c>
    </row>
    <row r="52" spans="2:11" x14ac:dyDescent="0.25">
      <c r="B52" s="50" t="s">
        <v>163</v>
      </c>
      <c r="C52" s="250"/>
      <c r="D52" s="50"/>
      <c r="E52" s="50"/>
      <c r="F52" s="172">
        <v>2588653</v>
      </c>
      <c r="G52" s="172">
        <v>1751273</v>
      </c>
      <c r="H52" s="471">
        <f t="shared" si="4"/>
        <v>4339926</v>
      </c>
      <c r="I52" s="472">
        <v>2735517</v>
      </c>
      <c r="J52" s="172">
        <v>2148057</v>
      </c>
      <c r="K52" s="471">
        <f t="shared" si="5"/>
        <v>4883574</v>
      </c>
    </row>
    <row r="53" spans="2:11" s="300" customFormat="1" x14ac:dyDescent="0.25">
      <c r="B53" s="298" t="s">
        <v>164</v>
      </c>
      <c r="C53" s="299"/>
      <c r="D53" s="298"/>
      <c r="E53" s="298"/>
      <c r="F53" s="172">
        <v>68254405</v>
      </c>
      <c r="G53" s="172">
        <v>181485941</v>
      </c>
      <c r="H53" s="471">
        <f t="shared" si="4"/>
        <v>249740346</v>
      </c>
      <c r="I53" s="472">
        <v>79247757</v>
      </c>
      <c r="J53" s="172">
        <v>209317554</v>
      </c>
      <c r="K53" s="471">
        <f t="shared" si="5"/>
        <v>288565311</v>
      </c>
    </row>
    <row r="54" spans="2:11" x14ac:dyDescent="0.25">
      <c r="B54" s="50" t="s">
        <v>165</v>
      </c>
      <c r="C54" s="250"/>
      <c r="D54" s="50"/>
      <c r="E54" s="50"/>
      <c r="F54" s="172">
        <v>1341794</v>
      </c>
      <c r="G54" s="172">
        <v>1265479</v>
      </c>
      <c r="H54" s="471">
        <f t="shared" si="4"/>
        <v>2607273</v>
      </c>
      <c r="I54" s="472">
        <v>1542123</v>
      </c>
      <c r="J54" s="172">
        <v>1574486</v>
      </c>
      <c r="K54" s="471">
        <f t="shared" si="5"/>
        <v>3116609</v>
      </c>
    </row>
    <row r="55" spans="2:11" ht="15.75" thickBot="1" x14ac:dyDescent="0.3">
      <c r="B55" s="50" t="s">
        <v>166</v>
      </c>
      <c r="C55" s="250"/>
      <c r="D55" s="50"/>
      <c r="E55" s="50"/>
      <c r="F55" s="192">
        <v>10345095</v>
      </c>
      <c r="G55" s="192">
        <v>27454438</v>
      </c>
      <c r="H55" s="193">
        <f t="shared" si="4"/>
        <v>37799533</v>
      </c>
      <c r="I55" s="197">
        <v>11179656</v>
      </c>
      <c r="J55" s="192">
        <v>34510777</v>
      </c>
      <c r="K55" s="193">
        <f t="shared" si="5"/>
        <v>45690433</v>
      </c>
    </row>
    <row r="56" spans="2:11" x14ac:dyDescent="0.25">
      <c r="B56" s="147" t="s">
        <v>66</v>
      </c>
      <c r="C56" s="250"/>
      <c r="D56" s="250"/>
      <c r="E56" s="250"/>
      <c r="F56" s="250">
        <f>SUM(F36:F55)</f>
        <v>301861417</v>
      </c>
      <c r="G56" s="250">
        <f>SUM(G36:G55)</f>
        <v>385268997</v>
      </c>
      <c r="H56" s="301">
        <f>SUM(H36:H55)</f>
        <v>687130414</v>
      </c>
      <c r="I56" s="250">
        <f>SUM(I36:I55)</f>
        <v>361652951</v>
      </c>
      <c r="J56" s="250">
        <f>SUM(J36:J55)</f>
        <v>433964335</v>
      </c>
      <c r="K56" s="250">
        <f>I56+J56</f>
        <v>795617286</v>
      </c>
    </row>
  </sheetData>
  <mergeCells count="9">
    <mergeCell ref="B34:B35"/>
    <mergeCell ref="F34:H34"/>
    <mergeCell ref="I34:K34"/>
    <mergeCell ref="B3:G3"/>
    <mergeCell ref="B4:G4"/>
    <mergeCell ref="B5:B8"/>
    <mergeCell ref="C5:C6"/>
    <mergeCell ref="E5:E6"/>
    <mergeCell ref="G5:G6"/>
  </mergeCells>
  <pageMargins left="0.70866141732283472" right="0.70866141732283472" top="0.74803149606299213" bottom="0.74803149606299213" header="0.31496062992125984" footer="0.31496062992125984"/>
  <pageSetup scale="60"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6">
    <tabColor theme="3" tint="0.79998168889431442"/>
    <pageSetUpPr fitToPage="1"/>
  </sheetPr>
  <dimension ref="B2:U88"/>
  <sheetViews>
    <sheetView zoomScale="90" zoomScaleNormal="90" workbookViewId="0">
      <selection activeCell="Q48" sqref="Q48"/>
    </sheetView>
  </sheetViews>
  <sheetFormatPr baseColWidth="10" defaultColWidth="11.42578125" defaultRowHeight="15" x14ac:dyDescent="0.25"/>
  <cols>
    <col min="1" max="1" width="3.5703125" customWidth="1"/>
    <col min="2" max="2" width="22.42578125" customWidth="1"/>
    <col min="3" max="3" width="15.42578125" customWidth="1"/>
    <col min="4" max="4" width="18.7109375" customWidth="1"/>
    <col min="5" max="5" width="18.28515625" customWidth="1"/>
    <col min="6" max="7" width="18" bestFit="1" customWidth="1"/>
    <col min="8" max="12" width="16.28515625" customWidth="1"/>
    <col min="13" max="16" width="16.7109375" customWidth="1"/>
    <col min="17" max="17" width="15.28515625" bestFit="1" customWidth="1"/>
    <col min="18" max="18" width="17.7109375" customWidth="1"/>
    <col min="20" max="20" width="15.28515625" bestFit="1" customWidth="1"/>
    <col min="21" max="21" width="15.140625" customWidth="1"/>
  </cols>
  <sheetData>
    <row r="2" spans="2:21" x14ac:dyDescent="0.25">
      <c r="B2" s="9"/>
      <c r="C2" s="9"/>
      <c r="D2" s="9"/>
      <c r="E2" s="9"/>
      <c r="F2" s="9"/>
      <c r="G2" s="9"/>
      <c r="H2" s="9"/>
      <c r="I2" s="9"/>
      <c r="J2" s="9"/>
      <c r="K2" s="77"/>
      <c r="L2" s="77"/>
      <c r="M2" s="256" t="s">
        <v>219</v>
      </c>
      <c r="N2" s="9"/>
      <c r="O2" s="9"/>
      <c r="P2" s="9"/>
      <c r="Q2" s="9"/>
      <c r="R2" s="9"/>
      <c r="S2" s="9"/>
      <c r="T2" s="9"/>
      <c r="U2" s="9"/>
    </row>
    <row r="3" spans="2:21" x14ac:dyDescent="0.25">
      <c r="B3" s="840" t="s">
        <v>0</v>
      </c>
      <c r="C3" s="840"/>
      <c r="D3" s="840"/>
      <c r="E3" s="840"/>
      <c r="F3" s="840"/>
      <c r="G3" s="840"/>
      <c r="H3" s="840"/>
      <c r="I3" s="840"/>
      <c r="J3" s="840"/>
      <c r="K3" s="840"/>
      <c r="L3" s="840"/>
      <c r="M3" s="840"/>
      <c r="N3" s="9"/>
      <c r="O3" s="9"/>
      <c r="P3" s="9"/>
      <c r="Q3" s="9"/>
      <c r="R3" s="9"/>
      <c r="S3" s="9"/>
      <c r="T3" s="9"/>
      <c r="U3" s="9"/>
    </row>
    <row r="4" spans="2:21" ht="15.75" thickBot="1" x14ac:dyDescent="0.3">
      <c r="B4" s="921" t="s">
        <v>220</v>
      </c>
      <c r="C4" s="921"/>
      <c r="D4" s="921"/>
      <c r="E4" s="921"/>
      <c r="F4" s="921"/>
      <c r="G4" s="921"/>
      <c r="H4" s="921"/>
      <c r="I4" s="921"/>
      <c r="J4" s="921"/>
      <c r="K4" s="921"/>
      <c r="L4" s="921"/>
      <c r="M4" s="921"/>
      <c r="N4" s="9"/>
      <c r="O4" s="9"/>
      <c r="P4" s="9"/>
      <c r="Q4" s="9"/>
      <c r="R4" s="9"/>
      <c r="S4" s="9"/>
      <c r="T4" s="9"/>
      <c r="U4" s="9"/>
    </row>
    <row r="5" spans="2:21" x14ac:dyDescent="0.25">
      <c r="B5" s="1093" t="s">
        <v>84</v>
      </c>
      <c r="C5" s="1095" t="s">
        <v>221</v>
      </c>
      <c r="D5" s="1095"/>
      <c r="E5" s="1095" t="s">
        <v>222</v>
      </c>
      <c r="F5" s="1095"/>
      <c r="G5" s="302" t="s">
        <v>223</v>
      </c>
      <c r="H5" s="302" t="s">
        <v>138</v>
      </c>
      <c r="I5" s="303"/>
      <c r="J5" s="303"/>
      <c r="K5" s="303" t="s">
        <v>30</v>
      </c>
      <c r="L5" s="303" t="s">
        <v>23</v>
      </c>
      <c r="M5" s="304" t="s">
        <v>83</v>
      </c>
      <c r="N5" s="149"/>
      <c r="O5" s="149"/>
      <c r="P5" s="149"/>
      <c r="Q5" s="155"/>
      <c r="R5" s="9"/>
      <c r="S5" s="9"/>
      <c r="T5" s="9"/>
      <c r="U5" s="9"/>
    </row>
    <row r="6" spans="2:21" x14ac:dyDescent="0.25">
      <c r="B6" s="1094"/>
      <c r="C6" s="1037" t="s">
        <v>70</v>
      </c>
      <c r="D6" s="1037"/>
      <c r="E6" s="1096" t="s">
        <v>133</v>
      </c>
      <c r="F6" s="1096"/>
      <c r="G6" s="272" t="s">
        <v>224</v>
      </c>
      <c r="H6" s="272" t="s">
        <v>225</v>
      </c>
      <c r="I6" s="305"/>
      <c r="J6" s="305"/>
      <c r="K6" s="305" t="s">
        <v>36</v>
      </c>
      <c r="L6" s="305" t="s">
        <v>226</v>
      </c>
      <c r="M6" s="306" t="s">
        <v>227</v>
      </c>
      <c r="N6" s="149"/>
      <c r="O6" s="149"/>
      <c r="P6" s="149"/>
      <c r="Q6" s="155"/>
      <c r="R6" s="9"/>
      <c r="S6" s="119"/>
      <c r="T6" s="307"/>
      <c r="U6" s="9"/>
    </row>
    <row r="7" spans="2:21" x14ac:dyDescent="0.25">
      <c r="B7" s="1094"/>
      <c r="C7" s="261" t="s">
        <v>138</v>
      </c>
      <c r="D7" s="261" t="s">
        <v>228</v>
      </c>
      <c r="E7" s="257" t="s">
        <v>138</v>
      </c>
      <c r="F7" s="257" t="s">
        <v>229</v>
      </c>
      <c r="G7" s="272"/>
      <c r="H7" s="272" t="s">
        <v>230</v>
      </c>
      <c r="I7" s="305"/>
      <c r="J7" s="305"/>
      <c r="K7" s="305" t="s">
        <v>44</v>
      </c>
      <c r="L7" s="305" t="s">
        <v>43</v>
      </c>
      <c r="M7" s="306" t="s">
        <v>231</v>
      </c>
      <c r="N7" s="149"/>
      <c r="O7" s="149"/>
      <c r="P7" s="149"/>
      <c r="Q7" s="155"/>
      <c r="R7" s="9"/>
      <c r="S7" s="119"/>
      <c r="T7" s="307"/>
      <c r="U7" s="9"/>
    </row>
    <row r="8" spans="2:21" x14ac:dyDescent="0.25">
      <c r="B8" s="1094"/>
      <c r="C8" s="308" t="s">
        <v>232</v>
      </c>
      <c r="D8" s="308" t="s">
        <v>98</v>
      </c>
      <c r="E8" s="308" t="s">
        <v>72</v>
      </c>
      <c r="F8" s="308" t="s">
        <v>99</v>
      </c>
      <c r="G8" s="309" t="s">
        <v>146</v>
      </c>
      <c r="H8" s="309" t="s">
        <v>101</v>
      </c>
      <c r="I8" s="310"/>
      <c r="J8" s="310"/>
      <c r="K8" s="311"/>
      <c r="L8" s="311"/>
      <c r="M8" s="312"/>
      <c r="N8" s="9"/>
      <c r="O8" s="9"/>
      <c r="P8" s="9"/>
      <c r="Q8" s="9"/>
      <c r="R8" s="9"/>
      <c r="S8" s="119"/>
      <c r="T8" s="307"/>
      <c r="U8" s="9"/>
    </row>
    <row r="9" spans="2:21" x14ac:dyDescent="0.25">
      <c r="B9" s="152" t="s">
        <v>46</v>
      </c>
      <c r="C9" s="313" t="e">
        <f>#REF!</f>
        <v>#REF!</v>
      </c>
      <c r="D9" s="274" t="e">
        <f>#REF!</f>
        <v>#REF!</v>
      </c>
      <c r="E9" s="164">
        <v>6.3423828522887202</v>
      </c>
      <c r="F9" s="122">
        <f>'FGP 30%'!G9</f>
        <v>6670585.2698365068</v>
      </c>
      <c r="G9" s="144" t="e">
        <f t="shared" ref="G9:G28" si="0">D9+F9</f>
        <v>#REF!</v>
      </c>
      <c r="H9" s="273" t="e">
        <f>G9/G$29%</f>
        <v>#REF!</v>
      </c>
      <c r="I9" s="354">
        <v>212240.17867414959</v>
      </c>
      <c r="J9" s="314" t="e">
        <f>I9-G9</f>
        <v>#REF!</v>
      </c>
      <c r="K9" s="315" t="e">
        <f>J9-H9</f>
        <v>#REF!</v>
      </c>
      <c r="L9" s="316" t="e">
        <f>K9/K$29*100</f>
        <v>#REF!</v>
      </c>
      <c r="M9" s="317" t="e">
        <f>D9+F9+K9</f>
        <v>#REF!</v>
      </c>
      <c r="N9" s="307"/>
      <c r="O9" s="307"/>
      <c r="P9" s="307"/>
      <c r="Q9" s="307"/>
      <c r="R9" s="307"/>
      <c r="S9" s="119"/>
      <c r="T9" s="307"/>
      <c r="U9" s="318"/>
    </row>
    <row r="10" spans="2:21" x14ac:dyDescent="0.25">
      <c r="B10" s="152" t="s">
        <v>47</v>
      </c>
      <c r="C10" s="313" t="e">
        <f>#REF!</f>
        <v>#REF!</v>
      </c>
      <c r="D10" s="274" t="e">
        <f>#REF!</f>
        <v>#REF!</v>
      </c>
      <c r="E10" s="164">
        <v>4.8747369734108545</v>
      </c>
      <c r="F10" s="122">
        <f>'FGP 30%'!G10</f>
        <v>4543398.1803570827</v>
      </c>
      <c r="G10" s="146" t="e">
        <f t="shared" si="0"/>
        <v>#REF!</v>
      </c>
      <c r="H10" s="163" t="e">
        <f t="shared" ref="H10:H28" si="1">G10/G$29%</f>
        <v>#REF!</v>
      </c>
      <c r="I10" s="354">
        <v>145867.37344216814</v>
      </c>
      <c r="J10" s="314" t="e">
        <f t="shared" ref="J10:K28" si="2">I10-G10</f>
        <v>#REF!</v>
      </c>
      <c r="K10" s="315" t="e">
        <f t="shared" si="2"/>
        <v>#REF!</v>
      </c>
      <c r="L10" s="316" t="e">
        <f t="shared" ref="L10:L28" si="3">K10/K$29*100</f>
        <v>#REF!</v>
      </c>
      <c r="M10" s="319" t="e">
        <f t="shared" ref="M10:M28" si="4">D10+F10+K10</f>
        <v>#REF!</v>
      </c>
      <c r="N10" s="307"/>
      <c r="O10" s="307"/>
      <c r="P10" s="307"/>
      <c r="Q10" s="307"/>
      <c r="R10" s="307"/>
      <c r="S10" s="119"/>
      <c r="T10" s="307"/>
      <c r="U10" s="318"/>
    </row>
    <row r="11" spans="2:21" x14ac:dyDescent="0.25">
      <c r="B11" s="152" t="s">
        <v>48</v>
      </c>
      <c r="C11" s="313" t="e">
        <f>#REF!</f>
        <v>#REF!</v>
      </c>
      <c r="D11" s="274" t="e">
        <f>#REF!</f>
        <v>#REF!</v>
      </c>
      <c r="E11" s="164">
        <v>3.9787441024444163</v>
      </c>
      <c r="F11" s="122">
        <f>'FGP 30%'!G11</f>
        <v>6081006.2493911758</v>
      </c>
      <c r="G11" s="146" t="e">
        <f t="shared" si="0"/>
        <v>#REF!</v>
      </c>
      <c r="H11" s="163" t="e">
        <f t="shared" si="1"/>
        <v>#REF!</v>
      </c>
      <c r="I11" s="354">
        <v>130448.22525879936</v>
      </c>
      <c r="J11" s="314" t="e">
        <f t="shared" si="2"/>
        <v>#REF!</v>
      </c>
      <c r="K11" s="315" t="e">
        <f t="shared" si="2"/>
        <v>#REF!</v>
      </c>
      <c r="L11" s="316" t="e">
        <f t="shared" si="3"/>
        <v>#REF!</v>
      </c>
      <c r="M11" s="319" t="e">
        <f t="shared" si="4"/>
        <v>#REF!</v>
      </c>
      <c r="N11" s="307"/>
      <c r="O11" s="307"/>
      <c r="P11" s="307"/>
      <c r="Q11" s="307"/>
      <c r="R11" s="307"/>
      <c r="S11" s="119"/>
      <c r="T11" s="307"/>
      <c r="U11" s="318"/>
    </row>
    <row r="12" spans="2:21" x14ac:dyDescent="0.25">
      <c r="B12" s="152" t="s">
        <v>49</v>
      </c>
      <c r="C12" s="313" t="e">
        <f>#REF!</f>
        <v>#REF!</v>
      </c>
      <c r="D12" s="274" t="e">
        <f>#REF!</f>
        <v>#REF!</v>
      </c>
      <c r="E12" s="164">
        <v>4.7794922547559926</v>
      </c>
      <c r="F12" s="122">
        <f>'FGP 30%'!G12</f>
        <v>7269842.72940904</v>
      </c>
      <c r="G12" s="146" t="e">
        <f t="shared" si="0"/>
        <v>#REF!</v>
      </c>
      <c r="H12" s="163" t="e">
        <f t="shared" si="1"/>
        <v>#REF!</v>
      </c>
      <c r="I12" s="354">
        <v>417649.23433316802</v>
      </c>
      <c r="J12" s="314" t="e">
        <f t="shared" si="2"/>
        <v>#REF!</v>
      </c>
      <c r="K12" s="315" t="e">
        <f t="shared" si="2"/>
        <v>#REF!</v>
      </c>
      <c r="L12" s="316" t="e">
        <f t="shared" si="3"/>
        <v>#REF!</v>
      </c>
      <c r="M12" s="319" t="e">
        <f t="shared" si="4"/>
        <v>#REF!</v>
      </c>
      <c r="N12" s="307"/>
      <c r="O12" s="307"/>
      <c r="P12" s="318"/>
      <c r="Q12" s="307"/>
      <c r="R12" s="318"/>
      <c r="S12" s="119"/>
      <c r="T12" s="307"/>
      <c r="U12" s="318"/>
    </row>
    <row r="13" spans="2:21" x14ac:dyDescent="0.25">
      <c r="B13" s="152" t="s">
        <v>50</v>
      </c>
      <c r="C13" s="313" t="e">
        <f>#REF!</f>
        <v>#REF!</v>
      </c>
      <c r="D13" s="274" t="e">
        <f>#REF!</f>
        <v>#REF!</v>
      </c>
      <c r="E13" s="164">
        <v>4.8396147698123535</v>
      </c>
      <c r="F13" s="122">
        <f>'FGP 30%'!G13</f>
        <v>15143698.673147449</v>
      </c>
      <c r="G13" s="146" t="e">
        <f t="shared" si="0"/>
        <v>#REF!</v>
      </c>
      <c r="H13" s="163" t="e">
        <f t="shared" si="1"/>
        <v>#REF!</v>
      </c>
      <c r="I13" s="354">
        <v>277064.87231006427</v>
      </c>
      <c r="J13" s="314" t="e">
        <f t="shared" si="2"/>
        <v>#REF!</v>
      </c>
      <c r="K13" s="315" t="e">
        <f t="shared" si="2"/>
        <v>#REF!</v>
      </c>
      <c r="L13" s="316" t="e">
        <f t="shared" si="3"/>
        <v>#REF!</v>
      </c>
      <c r="M13" s="319" t="e">
        <f t="shared" si="4"/>
        <v>#REF!</v>
      </c>
      <c r="N13" s="307"/>
      <c r="O13" s="307"/>
      <c r="P13" s="307"/>
      <c r="Q13" s="307"/>
      <c r="R13" s="307"/>
      <c r="S13" s="119"/>
      <c r="T13" s="307"/>
      <c r="U13" s="318"/>
    </row>
    <row r="14" spans="2:21" x14ac:dyDescent="0.25">
      <c r="B14" s="152" t="s">
        <v>51</v>
      </c>
      <c r="C14" s="313" t="e">
        <f>#REF!</f>
        <v>#REF!</v>
      </c>
      <c r="D14" s="274" t="e">
        <f>#REF!</f>
        <v>#REF!</v>
      </c>
      <c r="E14" s="164">
        <v>4.8859352991166247</v>
      </c>
      <c r="F14" s="122">
        <f>'FGP 30%'!G14</f>
        <v>5367756.5222437764</v>
      </c>
      <c r="G14" s="146" t="e">
        <f t="shared" si="0"/>
        <v>#REF!</v>
      </c>
      <c r="H14" s="163" t="e">
        <f t="shared" si="1"/>
        <v>#REF!</v>
      </c>
      <c r="I14" s="354">
        <v>187736.37714703428</v>
      </c>
      <c r="J14" s="314" t="e">
        <f t="shared" si="2"/>
        <v>#REF!</v>
      </c>
      <c r="K14" s="315" t="e">
        <f t="shared" si="2"/>
        <v>#REF!</v>
      </c>
      <c r="L14" s="316" t="e">
        <f t="shared" si="3"/>
        <v>#REF!</v>
      </c>
      <c r="M14" s="319" t="e">
        <f t="shared" si="4"/>
        <v>#REF!</v>
      </c>
      <c r="N14" s="307"/>
      <c r="O14" s="307"/>
      <c r="P14" s="307"/>
      <c r="Q14" s="307"/>
      <c r="R14" s="307"/>
      <c r="S14" s="119"/>
      <c r="T14" s="307"/>
      <c r="U14" s="318"/>
    </row>
    <row r="15" spans="2:21" x14ac:dyDescent="0.25">
      <c r="B15" s="152" t="s">
        <v>52</v>
      </c>
      <c r="C15" s="313" t="e">
        <f>#REF!</f>
        <v>#REF!</v>
      </c>
      <c r="D15" s="274" t="e">
        <f>#REF!</f>
        <v>#REF!</v>
      </c>
      <c r="E15" s="164">
        <v>4.009568855684738</v>
      </c>
      <c r="F15" s="122">
        <f>'FGP 30%'!G15</f>
        <v>7120019.2324170098</v>
      </c>
      <c r="G15" s="146" t="e">
        <f t="shared" si="0"/>
        <v>#REF!</v>
      </c>
      <c r="H15" s="163" t="e">
        <f t="shared" si="1"/>
        <v>#REF!</v>
      </c>
      <c r="I15" s="354">
        <v>131008.64234565338</v>
      </c>
      <c r="J15" s="314" t="e">
        <f t="shared" si="2"/>
        <v>#REF!</v>
      </c>
      <c r="K15" s="315" t="e">
        <f t="shared" si="2"/>
        <v>#REF!</v>
      </c>
      <c r="L15" s="316" t="e">
        <f t="shared" si="3"/>
        <v>#REF!</v>
      </c>
      <c r="M15" s="319" t="e">
        <f t="shared" si="4"/>
        <v>#REF!</v>
      </c>
      <c r="N15" s="307"/>
      <c r="O15" s="307"/>
      <c r="P15" s="307"/>
      <c r="Q15" s="307"/>
      <c r="R15" s="307"/>
      <c r="S15" s="119"/>
      <c r="T15" s="307"/>
      <c r="U15" s="318"/>
    </row>
    <row r="16" spans="2:21" x14ac:dyDescent="0.25">
      <c r="B16" s="152" t="s">
        <v>53</v>
      </c>
      <c r="C16" s="313" t="e">
        <f>#REF!</f>
        <v>#REF!</v>
      </c>
      <c r="D16" s="274" t="e">
        <f>#REF!</f>
        <v>#REF!</v>
      </c>
      <c r="E16" s="164">
        <v>7.5369203970102321</v>
      </c>
      <c r="F16" s="122">
        <f>'FGP 30%'!G16</f>
        <v>6707775.0725241648</v>
      </c>
      <c r="G16" s="146" t="e">
        <f t="shared" si="0"/>
        <v>#REF!</v>
      </c>
      <c r="H16" s="163" t="e">
        <f t="shared" si="1"/>
        <v>#REF!</v>
      </c>
      <c r="I16" s="354">
        <v>205355.35681466889</v>
      </c>
      <c r="J16" s="314" t="e">
        <f t="shared" si="2"/>
        <v>#REF!</v>
      </c>
      <c r="K16" s="315" t="e">
        <f t="shared" si="2"/>
        <v>#REF!</v>
      </c>
      <c r="L16" s="316" t="e">
        <f t="shared" si="3"/>
        <v>#REF!</v>
      </c>
      <c r="M16" s="319" t="e">
        <f t="shared" si="4"/>
        <v>#REF!</v>
      </c>
      <c r="N16" s="307"/>
      <c r="O16" s="307"/>
      <c r="P16" s="307"/>
      <c r="Q16" s="307"/>
      <c r="R16" s="307"/>
      <c r="S16" s="119"/>
      <c r="T16" s="307"/>
      <c r="U16" s="318"/>
    </row>
    <row r="17" spans="2:21" x14ac:dyDescent="0.25">
      <c r="B17" s="152" t="s">
        <v>54</v>
      </c>
      <c r="C17" s="313" t="e">
        <f>#REF!</f>
        <v>#REF!</v>
      </c>
      <c r="D17" s="274" t="e">
        <f>#REF!</f>
        <v>#REF!</v>
      </c>
      <c r="E17" s="164">
        <v>5.9361538809380185</v>
      </c>
      <c r="F17" s="122">
        <f>'FGP 30%'!G17</f>
        <v>8269883.6736929426</v>
      </c>
      <c r="G17" s="146" t="e">
        <f t="shared" si="0"/>
        <v>#REF!</v>
      </c>
      <c r="H17" s="163" t="e">
        <f t="shared" si="1"/>
        <v>#REF!</v>
      </c>
      <c r="I17" s="354">
        <v>162912.99120529165</v>
      </c>
      <c r="J17" s="314" t="e">
        <f t="shared" si="2"/>
        <v>#REF!</v>
      </c>
      <c r="K17" s="315" t="e">
        <f t="shared" si="2"/>
        <v>#REF!</v>
      </c>
      <c r="L17" s="316" t="e">
        <f t="shared" si="3"/>
        <v>#REF!</v>
      </c>
      <c r="M17" s="319" t="e">
        <f t="shared" si="4"/>
        <v>#REF!</v>
      </c>
      <c r="N17" s="307"/>
      <c r="O17" s="307"/>
      <c r="P17" s="307"/>
      <c r="Q17" s="307"/>
      <c r="R17" s="307"/>
      <c r="S17" s="119"/>
      <c r="T17" s="307"/>
      <c r="U17" s="318"/>
    </row>
    <row r="18" spans="2:21" x14ac:dyDescent="0.25">
      <c r="B18" s="152" t="s">
        <v>55</v>
      </c>
      <c r="C18" s="313" t="e">
        <f>#REF!</f>
        <v>#REF!</v>
      </c>
      <c r="D18" s="274" t="e">
        <f>#REF!</f>
        <v>#REF!</v>
      </c>
      <c r="E18" s="164">
        <v>4.8230792844533079</v>
      </c>
      <c r="F18" s="122">
        <f>'FGP 30%'!G18</f>
        <v>1562947.0089009816</v>
      </c>
      <c r="G18" s="146" t="e">
        <f t="shared" si="0"/>
        <v>#REF!</v>
      </c>
      <c r="H18" s="163" t="e">
        <f t="shared" si="1"/>
        <v>#REF!</v>
      </c>
      <c r="I18" s="354">
        <v>142227.96010683011</v>
      </c>
      <c r="J18" s="314" t="e">
        <f t="shared" si="2"/>
        <v>#REF!</v>
      </c>
      <c r="K18" s="315" t="e">
        <f t="shared" si="2"/>
        <v>#REF!</v>
      </c>
      <c r="L18" s="316" t="e">
        <f t="shared" si="3"/>
        <v>#REF!</v>
      </c>
      <c r="M18" s="319" t="e">
        <f t="shared" si="4"/>
        <v>#REF!</v>
      </c>
      <c r="N18" s="307"/>
      <c r="O18" s="307"/>
      <c r="P18" s="307"/>
      <c r="Q18" s="307"/>
      <c r="R18" s="307"/>
      <c r="S18" s="119"/>
      <c r="T18" s="307"/>
      <c r="U18" s="318"/>
    </row>
    <row r="19" spans="2:21" x14ac:dyDescent="0.25">
      <c r="B19" s="152" t="s">
        <v>56</v>
      </c>
      <c r="C19" s="313" t="e">
        <f>#REF!</f>
        <v>#REF!</v>
      </c>
      <c r="D19" s="274" t="e">
        <f>#REF!</f>
        <v>#REF!</v>
      </c>
      <c r="E19" s="164">
        <v>4.1063513873665975</v>
      </c>
      <c r="F19" s="122">
        <f>'FGP 30%'!G19</f>
        <v>7112259.1541536665</v>
      </c>
      <c r="G19" s="146" t="e">
        <f t="shared" si="0"/>
        <v>#REF!</v>
      </c>
      <c r="H19" s="163" t="e">
        <f t="shared" si="1"/>
        <v>#REF!</v>
      </c>
      <c r="I19" s="354">
        <v>178100.70770568217</v>
      </c>
      <c r="J19" s="314" t="e">
        <f t="shared" si="2"/>
        <v>#REF!</v>
      </c>
      <c r="K19" s="315" t="e">
        <f t="shared" si="2"/>
        <v>#REF!</v>
      </c>
      <c r="L19" s="316" t="e">
        <f t="shared" si="3"/>
        <v>#REF!</v>
      </c>
      <c r="M19" s="319" t="e">
        <f t="shared" si="4"/>
        <v>#REF!</v>
      </c>
      <c r="N19" s="307"/>
      <c r="O19" s="307"/>
      <c r="P19" s="307"/>
      <c r="Q19" s="307"/>
      <c r="R19" s="307"/>
      <c r="S19" s="119"/>
      <c r="T19" s="307"/>
      <c r="U19" s="318"/>
    </row>
    <row r="20" spans="2:21" x14ac:dyDescent="0.25">
      <c r="B20" s="152" t="s">
        <v>57</v>
      </c>
      <c r="C20" s="313" t="e">
        <f>#REF!</f>
        <v>#REF!</v>
      </c>
      <c r="D20" s="274" t="e">
        <f>#REF!</f>
        <v>#REF!</v>
      </c>
      <c r="E20" s="164">
        <v>5.2077346983143604</v>
      </c>
      <c r="F20" s="122">
        <f>'FGP 30%'!G20</f>
        <v>8377104.0719266441</v>
      </c>
      <c r="G20" s="146" t="e">
        <f t="shared" si="0"/>
        <v>#REF!</v>
      </c>
      <c r="H20" s="163" t="e">
        <f t="shared" si="1"/>
        <v>#REF!</v>
      </c>
      <c r="I20" s="354">
        <v>166912.25078355873</v>
      </c>
      <c r="J20" s="314" t="e">
        <f t="shared" si="2"/>
        <v>#REF!</v>
      </c>
      <c r="K20" s="315" t="e">
        <f t="shared" si="2"/>
        <v>#REF!</v>
      </c>
      <c r="L20" s="316" t="e">
        <f t="shared" si="3"/>
        <v>#REF!</v>
      </c>
      <c r="M20" s="319" t="e">
        <f t="shared" si="4"/>
        <v>#REF!</v>
      </c>
      <c r="N20" s="307"/>
      <c r="O20" s="307"/>
      <c r="P20" s="307"/>
      <c r="Q20" s="307"/>
      <c r="R20" s="307"/>
      <c r="S20" s="119"/>
      <c r="T20" s="307"/>
      <c r="U20" s="307"/>
    </row>
    <row r="21" spans="2:21" x14ac:dyDescent="0.25">
      <c r="B21" s="152" t="s">
        <v>58</v>
      </c>
      <c r="C21" s="313" t="e">
        <f>#REF!</f>
        <v>#REF!</v>
      </c>
      <c r="D21" s="274" t="e">
        <f>#REF!</f>
        <v>#REF!</v>
      </c>
      <c r="E21" s="164">
        <v>4.8186763914888475</v>
      </c>
      <c r="F21" s="122">
        <f>'FGP 30%'!G21</f>
        <v>5152827.5186871113</v>
      </c>
      <c r="G21" s="146" t="e">
        <f t="shared" si="0"/>
        <v>#REF!</v>
      </c>
      <c r="H21" s="163" t="e">
        <f t="shared" si="1"/>
        <v>#REF!</v>
      </c>
      <c r="I21" s="354">
        <v>208036.45988467679</v>
      </c>
      <c r="J21" s="314" t="e">
        <f t="shared" si="2"/>
        <v>#REF!</v>
      </c>
      <c r="K21" s="315" t="e">
        <f t="shared" si="2"/>
        <v>#REF!</v>
      </c>
      <c r="L21" s="316" t="e">
        <f t="shared" si="3"/>
        <v>#REF!</v>
      </c>
      <c r="M21" s="319" t="e">
        <f t="shared" si="4"/>
        <v>#REF!</v>
      </c>
      <c r="N21" s="307"/>
      <c r="O21" s="307"/>
      <c r="P21" s="307"/>
      <c r="Q21" s="307"/>
      <c r="R21" s="307"/>
      <c r="S21" s="119"/>
      <c r="T21" s="307"/>
      <c r="U21" s="307"/>
    </row>
    <row r="22" spans="2:21" x14ac:dyDescent="0.25">
      <c r="B22" s="152" t="s">
        <v>59</v>
      </c>
      <c r="C22" s="313" t="e">
        <f>#REF!</f>
        <v>#REF!</v>
      </c>
      <c r="D22" s="274" t="e">
        <f>#REF!</f>
        <v>#REF!</v>
      </c>
      <c r="E22" s="164">
        <v>2.9110739805529704</v>
      </c>
      <c r="F22" s="122">
        <f>'FGP 30%'!G22</f>
        <v>7559197.276030642</v>
      </c>
      <c r="G22" s="146" t="e">
        <f t="shared" si="0"/>
        <v>#REF!</v>
      </c>
      <c r="H22" s="163" t="e">
        <f t="shared" si="1"/>
        <v>#REF!</v>
      </c>
      <c r="I22" s="354">
        <v>121434.25160385661</v>
      </c>
      <c r="J22" s="314" t="e">
        <f t="shared" si="2"/>
        <v>#REF!</v>
      </c>
      <c r="K22" s="315" t="e">
        <f t="shared" si="2"/>
        <v>#REF!</v>
      </c>
      <c r="L22" s="316" t="e">
        <f t="shared" si="3"/>
        <v>#REF!</v>
      </c>
      <c r="M22" s="319" t="e">
        <f t="shared" si="4"/>
        <v>#REF!</v>
      </c>
      <c r="N22" s="307"/>
      <c r="O22" s="307"/>
      <c r="P22" s="307"/>
      <c r="Q22" s="307"/>
      <c r="R22" s="307"/>
      <c r="S22" s="119"/>
      <c r="T22" s="307"/>
      <c r="U22" s="318"/>
    </row>
    <row r="23" spans="2:21" x14ac:dyDescent="0.25">
      <c r="B23" s="152" t="s">
        <v>60</v>
      </c>
      <c r="C23" s="313" t="e">
        <f>#REF!</f>
        <v>#REF!</v>
      </c>
      <c r="D23" s="274" t="e">
        <f>#REF!</f>
        <v>#REF!</v>
      </c>
      <c r="E23" s="164">
        <v>4.3304906658341711</v>
      </c>
      <c r="F23" s="122">
        <f>'FGP 30%'!G23</f>
        <v>4062902.3699472114</v>
      </c>
      <c r="G23" s="146" t="e">
        <f t="shared" si="0"/>
        <v>#REF!</v>
      </c>
      <c r="H23" s="163" t="e">
        <f t="shared" si="1"/>
        <v>#REF!</v>
      </c>
      <c r="I23" s="354">
        <v>154393.13551406987</v>
      </c>
      <c r="J23" s="314" t="e">
        <f t="shared" si="2"/>
        <v>#REF!</v>
      </c>
      <c r="K23" s="315" t="e">
        <f t="shared" si="2"/>
        <v>#REF!</v>
      </c>
      <c r="L23" s="316" t="e">
        <f t="shared" si="3"/>
        <v>#REF!</v>
      </c>
      <c r="M23" s="319" t="e">
        <f t="shared" si="4"/>
        <v>#REF!</v>
      </c>
      <c r="N23" s="307"/>
      <c r="O23" s="307"/>
      <c r="P23" s="307"/>
      <c r="Q23" s="307"/>
      <c r="R23" s="307"/>
      <c r="S23" s="119"/>
      <c r="T23" s="307"/>
      <c r="U23" s="318"/>
    </row>
    <row r="24" spans="2:21" x14ac:dyDescent="0.25">
      <c r="B24" s="152" t="s">
        <v>61</v>
      </c>
      <c r="C24" s="313" t="e">
        <f>#REF!</f>
        <v>#REF!</v>
      </c>
      <c r="D24" s="274" t="e">
        <f>#REF!</f>
        <v>#REF!</v>
      </c>
      <c r="E24" s="164">
        <v>5.3086882085256404</v>
      </c>
      <c r="F24" s="122">
        <f>'FGP 30%'!G24</f>
        <v>7255384.4227537615</v>
      </c>
      <c r="G24" s="146" t="e">
        <f t="shared" si="0"/>
        <v>#REF!</v>
      </c>
      <c r="H24" s="163" t="e">
        <f t="shared" si="1"/>
        <v>#REF!</v>
      </c>
      <c r="I24" s="354">
        <v>342815.93253579823</v>
      </c>
      <c r="J24" s="314" t="e">
        <f t="shared" si="2"/>
        <v>#REF!</v>
      </c>
      <c r="K24" s="315" t="e">
        <f t="shared" si="2"/>
        <v>#REF!</v>
      </c>
      <c r="L24" s="316" t="e">
        <f t="shared" si="3"/>
        <v>#REF!</v>
      </c>
      <c r="M24" s="319" t="e">
        <f t="shared" si="4"/>
        <v>#REF!</v>
      </c>
      <c r="N24" s="307"/>
      <c r="O24" s="307"/>
      <c r="P24" s="307"/>
      <c r="Q24" s="307"/>
      <c r="R24" s="318"/>
      <c r="S24" s="119"/>
      <c r="T24" s="307"/>
      <c r="U24" s="307"/>
    </row>
    <row r="25" spans="2:21" x14ac:dyDescent="0.25">
      <c r="B25" s="152" t="s">
        <v>62</v>
      </c>
      <c r="C25" s="313" t="e">
        <f>#REF!</f>
        <v>#REF!</v>
      </c>
      <c r="D25" s="274" t="e">
        <f>#REF!</f>
        <v>#REF!</v>
      </c>
      <c r="E25" s="164">
        <v>4.864796565169633</v>
      </c>
      <c r="F25" s="122">
        <f>'FGP 30%'!G25</f>
        <v>7418969.0787019012</v>
      </c>
      <c r="G25" s="146" t="e">
        <f t="shared" si="0"/>
        <v>#REF!</v>
      </c>
      <c r="H25" s="163" t="e">
        <f t="shared" si="1"/>
        <v>#REF!</v>
      </c>
      <c r="I25" s="354">
        <v>200479.78722284615</v>
      </c>
      <c r="J25" s="314" t="e">
        <f t="shared" si="2"/>
        <v>#REF!</v>
      </c>
      <c r="K25" s="315" t="e">
        <f t="shared" si="2"/>
        <v>#REF!</v>
      </c>
      <c r="L25" s="316" t="e">
        <f t="shared" si="3"/>
        <v>#REF!</v>
      </c>
      <c r="M25" s="319" t="e">
        <f t="shared" si="4"/>
        <v>#REF!</v>
      </c>
      <c r="N25" s="307"/>
      <c r="O25" s="307"/>
      <c r="P25" s="307"/>
      <c r="Q25" s="307"/>
      <c r="R25" s="307"/>
      <c r="S25" s="119"/>
      <c r="T25" s="307"/>
      <c r="U25" s="318"/>
    </row>
    <row r="26" spans="2:21" x14ac:dyDescent="0.25">
      <c r="B26" s="152" t="s">
        <v>63</v>
      </c>
      <c r="C26" s="313" t="e">
        <f>#REF!</f>
        <v>#REF!</v>
      </c>
      <c r="D26" s="274" t="e">
        <f>#REF!</f>
        <v>#REF!</v>
      </c>
      <c r="E26" s="164">
        <v>5.7978942563195188</v>
      </c>
      <c r="F26" s="122">
        <f>'FGP 30%'!G26</f>
        <v>7618044.8639950966</v>
      </c>
      <c r="G26" s="146" t="e">
        <f t="shared" si="0"/>
        <v>#REF!</v>
      </c>
      <c r="H26" s="320" t="e">
        <f t="shared" si="1"/>
        <v>#REF!</v>
      </c>
      <c r="I26" s="354">
        <v>1123889.5444337416</v>
      </c>
      <c r="J26" s="314" t="e">
        <f t="shared" si="2"/>
        <v>#REF!</v>
      </c>
      <c r="K26" s="315" t="e">
        <f t="shared" si="2"/>
        <v>#REF!</v>
      </c>
      <c r="L26" s="316" t="e">
        <f t="shared" si="3"/>
        <v>#REF!</v>
      </c>
      <c r="M26" s="319" t="e">
        <f t="shared" si="4"/>
        <v>#REF!</v>
      </c>
      <c r="N26" s="307"/>
      <c r="O26" s="307"/>
      <c r="P26" s="318"/>
      <c r="Q26" s="307"/>
      <c r="R26" s="318"/>
      <c r="S26" s="119"/>
      <c r="T26" s="307"/>
      <c r="U26" s="307"/>
    </row>
    <row r="27" spans="2:21" x14ac:dyDescent="0.25">
      <c r="B27" s="152" t="s">
        <v>64</v>
      </c>
      <c r="C27" s="313" t="e">
        <f>#REF!</f>
        <v>#REF!</v>
      </c>
      <c r="D27" s="274" t="e">
        <f>#REF!</f>
        <v>#REF!</v>
      </c>
      <c r="E27" s="164">
        <v>4.8271447622480794</v>
      </c>
      <c r="F27" s="122">
        <f>'FGP 30%'!G27</f>
        <v>7881047.1493683597</v>
      </c>
      <c r="G27" s="146" t="e">
        <f t="shared" si="0"/>
        <v>#REF!</v>
      </c>
      <c r="H27" s="163" t="e">
        <f t="shared" si="1"/>
        <v>#REF!</v>
      </c>
      <c r="I27" s="354">
        <v>177060.44640841757</v>
      </c>
      <c r="J27" s="314" t="e">
        <f t="shared" si="2"/>
        <v>#REF!</v>
      </c>
      <c r="K27" s="315" t="e">
        <f t="shared" si="2"/>
        <v>#REF!</v>
      </c>
      <c r="L27" s="316" t="e">
        <f t="shared" si="3"/>
        <v>#REF!</v>
      </c>
      <c r="M27" s="319" t="e">
        <f t="shared" si="4"/>
        <v>#REF!</v>
      </c>
      <c r="N27" s="307"/>
      <c r="O27" s="307"/>
      <c r="P27" s="307"/>
      <c r="Q27" s="307"/>
      <c r="R27" s="307"/>
      <c r="S27" s="119"/>
      <c r="T27" s="307"/>
      <c r="U27" s="307"/>
    </row>
    <row r="28" spans="2:21" ht="15.75" thickBot="1" x14ac:dyDescent="0.3">
      <c r="B28" s="153" t="s">
        <v>65</v>
      </c>
      <c r="C28" s="321" t="e">
        <f>#REF!</f>
        <v>#REF!</v>
      </c>
      <c r="D28" s="322" t="e">
        <f>#REF!</f>
        <v>#REF!</v>
      </c>
      <c r="E28" s="323">
        <v>5.8205204142649469</v>
      </c>
      <c r="F28" s="324">
        <f>'FGP 30%'!G28</f>
        <v>7969424.3425154388</v>
      </c>
      <c r="G28" s="325" t="e">
        <f t="shared" si="0"/>
        <v>#REF!</v>
      </c>
      <c r="H28" s="326" t="e">
        <f t="shared" si="1"/>
        <v>#REF!</v>
      </c>
      <c r="I28" s="355">
        <v>236350.17226942629</v>
      </c>
      <c r="J28" s="327" t="e">
        <f t="shared" si="2"/>
        <v>#REF!</v>
      </c>
      <c r="K28" s="328" t="e">
        <f t="shared" si="2"/>
        <v>#REF!</v>
      </c>
      <c r="L28" s="329" t="e">
        <f t="shared" si="3"/>
        <v>#REF!</v>
      </c>
      <c r="M28" s="330" t="e">
        <f t="shared" si="4"/>
        <v>#REF!</v>
      </c>
      <c r="N28" s="307"/>
      <c r="O28" s="307"/>
      <c r="P28" s="307"/>
      <c r="Q28" s="307"/>
      <c r="R28" s="307"/>
      <c r="S28" s="119"/>
      <c r="T28" s="307"/>
      <c r="U28" s="318"/>
    </row>
    <row r="29" spans="2:21" ht="15.75" thickBot="1" x14ac:dyDescent="0.3">
      <c r="B29" s="331" t="s">
        <v>66</v>
      </c>
      <c r="C29" s="332" t="e">
        <f t="shared" ref="C29:M29" si="5">SUM(C9:C28)</f>
        <v>#REF!</v>
      </c>
      <c r="D29" s="333" t="e">
        <f t="shared" si="5"/>
        <v>#REF!</v>
      </c>
      <c r="E29" s="352">
        <f t="shared" si="5"/>
        <v>100.00000000000003</v>
      </c>
      <c r="F29" s="66">
        <f t="shared" si="5"/>
        <v>139144072.85999995</v>
      </c>
      <c r="G29" s="67" t="e">
        <f t="shared" si="5"/>
        <v>#REF!</v>
      </c>
      <c r="H29" s="353" t="e">
        <f>SUM(H9:H28)</f>
        <v>#REF!</v>
      </c>
      <c r="I29" s="334"/>
      <c r="J29" s="335" t="e">
        <f>SUM(J9:J28)</f>
        <v>#REF!</v>
      </c>
      <c r="K29" s="336" t="e">
        <f t="shared" si="5"/>
        <v>#REF!</v>
      </c>
      <c r="L29" s="337" t="e">
        <f>SUM(L9:L28)</f>
        <v>#REF!</v>
      </c>
      <c r="M29" s="338" t="e">
        <f t="shared" si="5"/>
        <v>#REF!</v>
      </c>
      <c r="N29" s="307"/>
      <c r="O29" s="307"/>
      <c r="P29" s="307"/>
      <c r="Q29" s="307"/>
      <c r="R29" s="307"/>
      <c r="S29" s="339"/>
      <c r="T29" s="307"/>
      <c r="U29" s="307"/>
    </row>
    <row r="30" spans="2:21" x14ac:dyDescent="0.25">
      <c r="B30" s="9" t="s">
        <v>233</v>
      </c>
      <c r="C30" s="9"/>
      <c r="D30" s="9"/>
      <c r="E30" s="9"/>
      <c r="F30" s="9"/>
      <c r="G30" s="9"/>
      <c r="H30" s="9"/>
      <c r="I30" s="9"/>
      <c r="J30" s="9"/>
      <c r="K30" s="77"/>
      <c r="L30" s="77"/>
      <c r="M30" s="307"/>
      <c r="N30" s="9"/>
      <c r="O30" s="9"/>
      <c r="P30" s="9"/>
      <c r="Q30" s="9"/>
      <c r="R30" s="9"/>
      <c r="S30" s="9"/>
      <c r="T30" s="9"/>
      <c r="U30" s="9"/>
    </row>
    <row r="31" spans="2:21" x14ac:dyDescent="0.25">
      <c r="B31" s="9" t="s">
        <v>234</v>
      </c>
      <c r="C31" s="9"/>
      <c r="D31" s="9"/>
      <c r="E31" s="9"/>
      <c r="F31" s="307"/>
      <c r="G31" s="9"/>
      <c r="H31" s="9"/>
      <c r="I31" s="9"/>
      <c r="J31" s="9"/>
      <c r="K31" s="77"/>
      <c r="L31" s="77"/>
      <c r="M31" s="9"/>
      <c r="N31" s="9"/>
      <c r="O31" s="9"/>
      <c r="P31" s="9"/>
      <c r="Q31" s="9"/>
      <c r="R31" s="9"/>
      <c r="S31" s="9"/>
      <c r="T31" s="9"/>
      <c r="U31" s="9"/>
    </row>
    <row r="32" spans="2:21" x14ac:dyDescent="0.25">
      <c r="B32" s="9"/>
      <c r="C32" s="9"/>
      <c r="D32" s="340"/>
      <c r="E32" s="9"/>
      <c r="F32" s="9"/>
      <c r="G32" s="9"/>
      <c r="H32" s="9"/>
      <c r="I32" s="137">
        <f>SUM(I9:I28)</f>
        <v>4921983.8999999026</v>
      </c>
      <c r="J32" s="9"/>
      <c r="K32" s="77"/>
      <c r="L32" s="77"/>
      <c r="M32" s="9"/>
      <c r="N32" s="9"/>
      <c r="O32" s="9"/>
      <c r="P32" s="9"/>
      <c r="Q32" s="9"/>
      <c r="R32" s="9"/>
      <c r="S32" s="9"/>
      <c r="T32" s="9"/>
      <c r="U32" s="9"/>
    </row>
    <row r="33" spans="2:6" hidden="1" x14ac:dyDescent="0.25">
      <c r="B33" s="9"/>
      <c r="C33" s="9"/>
      <c r="D33" s="9"/>
      <c r="E33" s="9"/>
      <c r="F33" s="9"/>
    </row>
    <row r="34" spans="2:6" hidden="1" x14ac:dyDescent="0.25">
      <c r="B34" s="999" t="s">
        <v>235</v>
      </c>
      <c r="C34" s="999"/>
      <c r="D34" s="999"/>
      <c r="E34" s="9"/>
      <c r="F34" s="9"/>
    </row>
    <row r="35" spans="2:6" ht="15" hidden="1" customHeight="1" x14ac:dyDescent="0.25">
      <c r="B35" s="1092" t="s">
        <v>236</v>
      </c>
      <c r="C35" s="868" t="s">
        <v>25</v>
      </c>
      <c r="D35" s="868"/>
      <c r="E35" s="9"/>
      <c r="F35" s="9"/>
    </row>
    <row r="36" spans="2:6" hidden="1" x14ac:dyDescent="0.25">
      <c r="B36" s="1092"/>
      <c r="C36" s="257" t="s">
        <v>237</v>
      </c>
      <c r="D36" s="257" t="s">
        <v>238</v>
      </c>
      <c r="E36" s="9"/>
      <c r="F36" s="9"/>
    </row>
    <row r="37" spans="2:6" hidden="1" x14ac:dyDescent="0.25">
      <c r="B37" s="341" t="s">
        <v>46</v>
      </c>
      <c r="C37" s="210">
        <v>29974.498347254703</v>
      </c>
      <c r="D37" s="210">
        <v>15215.818184990858</v>
      </c>
      <c r="E37" s="145"/>
      <c r="F37" s="146"/>
    </row>
    <row r="38" spans="2:6" hidden="1" x14ac:dyDescent="0.25">
      <c r="B38" s="341" t="s">
        <v>47</v>
      </c>
      <c r="C38" s="210">
        <v>52680.591327376627</v>
      </c>
      <c r="D38" s="210">
        <v>21399.49763849939</v>
      </c>
      <c r="E38" s="145"/>
      <c r="F38" s="146"/>
    </row>
    <row r="39" spans="2:6" hidden="1" x14ac:dyDescent="0.25">
      <c r="B39" s="341" t="s">
        <v>48</v>
      </c>
      <c r="C39" s="210">
        <v>98033.370647845295</v>
      </c>
      <c r="D39" s="210">
        <v>21647.119796160252</v>
      </c>
      <c r="E39" s="145"/>
      <c r="F39" s="146"/>
    </row>
    <row r="40" spans="2:6" hidden="1" x14ac:dyDescent="0.25">
      <c r="B40" s="341" t="s">
        <v>49</v>
      </c>
      <c r="C40" s="210">
        <v>21399.49763849939</v>
      </c>
      <c r="D40" s="210">
        <v>25965.384823886736</v>
      </c>
      <c r="E40" s="145"/>
      <c r="F40" s="146"/>
    </row>
    <row r="41" spans="2:6" hidden="1" x14ac:dyDescent="0.25">
      <c r="B41" s="341" t="s">
        <v>50</v>
      </c>
      <c r="C41" s="210">
        <v>25965.384823886736</v>
      </c>
      <c r="D41" s="210">
        <v>27212.070679317905</v>
      </c>
      <c r="E41" s="145"/>
      <c r="F41" s="146"/>
    </row>
    <row r="42" spans="2:6" hidden="1" x14ac:dyDescent="0.25">
      <c r="B42" s="341" t="s">
        <v>51</v>
      </c>
      <c r="C42" s="210">
        <v>37003.826900566906</v>
      </c>
      <c r="D42" s="210">
        <v>29974.498347254703</v>
      </c>
      <c r="E42" s="145"/>
      <c r="F42" s="146"/>
    </row>
    <row r="43" spans="2:6" hidden="1" x14ac:dyDescent="0.25">
      <c r="B43" s="341" t="s">
        <v>52</v>
      </c>
      <c r="C43" s="210">
        <v>79580.165950345632</v>
      </c>
      <c r="D43" s="210">
        <v>32584.151507048995</v>
      </c>
      <c r="E43" s="145"/>
      <c r="F43" s="146"/>
    </row>
    <row r="44" spans="2:6" hidden="1" x14ac:dyDescent="0.25">
      <c r="B44" s="341" t="s">
        <v>53</v>
      </c>
      <c r="C44" s="210">
        <v>33772.177205488624</v>
      </c>
      <c r="D44" s="210">
        <v>33772.177205488624</v>
      </c>
      <c r="E44" s="145"/>
      <c r="F44" s="146"/>
    </row>
    <row r="45" spans="2:6" hidden="1" x14ac:dyDescent="0.25">
      <c r="B45" s="341" t="s">
        <v>54</v>
      </c>
      <c r="C45" s="210">
        <v>45225.633132002353</v>
      </c>
      <c r="D45" s="210">
        <v>36708.177999525833</v>
      </c>
      <c r="E45" s="145"/>
      <c r="F45" s="146"/>
    </row>
    <row r="46" spans="2:6" hidden="1" x14ac:dyDescent="0.25">
      <c r="B46" s="341" t="s">
        <v>55</v>
      </c>
      <c r="C46" s="210">
        <v>63112.329754147126</v>
      </c>
      <c r="D46" s="210">
        <v>37003.826900566906</v>
      </c>
      <c r="E46" s="145"/>
      <c r="F46" s="146"/>
    </row>
    <row r="47" spans="2:6" hidden="1" x14ac:dyDescent="0.25">
      <c r="B47" s="341" t="s">
        <v>56</v>
      </c>
      <c r="C47" s="210">
        <v>39704.639733971853</v>
      </c>
      <c r="D47" s="210">
        <v>39704.639733971853</v>
      </c>
      <c r="E47" s="145"/>
      <c r="F47" s="146"/>
    </row>
    <row r="48" spans="2:6" hidden="1" x14ac:dyDescent="0.25">
      <c r="B48" s="341" t="s">
        <v>57</v>
      </c>
      <c r="C48" s="210">
        <v>44506.829771857942</v>
      </c>
      <c r="D48" s="210">
        <v>43192.395279627446</v>
      </c>
      <c r="E48" s="145"/>
      <c r="F48" s="146"/>
    </row>
    <row r="49" spans="2:12" hidden="1" x14ac:dyDescent="0.25">
      <c r="B49" s="341" t="s">
        <v>58</v>
      </c>
      <c r="C49" s="210">
        <v>32584.151507048995</v>
      </c>
      <c r="D49" s="210">
        <v>44506.829771857942</v>
      </c>
      <c r="E49" s="145"/>
      <c r="F49" s="146"/>
      <c r="G49" s="9"/>
      <c r="H49" s="9"/>
      <c r="I49" s="9"/>
      <c r="J49" s="9"/>
      <c r="K49" s="77"/>
      <c r="L49" s="77"/>
    </row>
    <row r="50" spans="2:12" hidden="1" x14ac:dyDescent="0.25">
      <c r="B50" s="341" t="s">
        <v>59</v>
      </c>
      <c r="C50" s="210">
        <v>268831.41005360917</v>
      </c>
      <c r="D50" s="210">
        <v>45225.633132002353</v>
      </c>
      <c r="E50" s="145"/>
      <c r="F50" s="146"/>
      <c r="G50" s="9"/>
      <c r="H50" s="9"/>
      <c r="I50" s="9"/>
      <c r="J50" s="9"/>
      <c r="K50" s="77"/>
      <c r="L50" s="77"/>
    </row>
    <row r="51" spans="2:12" hidden="1" x14ac:dyDescent="0.25">
      <c r="B51" s="341" t="s">
        <v>60</v>
      </c>
      <c r="C51" s="210">
        <v>46347.41126647652</v>
      </c>
      <c r="D51" s="210">
        <v>46347.41126647652</v>
      </c>
      <c r="E51" s="145"/>
      <c r="F51" s="146"/>
      <c r="G51" s="9"/>
      <c r="H51" s="9"/>
      <c r="I51" s="9"/>
      <c r="J51" s="9"/>
      <c r="K51" s="77"/>
      <c r="L51" s="77"/>
    </row>
    <row r="52" spans="2:12" hidden="1" x14ac:dyDescent="0.25">
      <c r="B52" s="341" t="s">
        <v>61</v>
      </c>
      <c r="C52" s="210">
        <v>21647.119796160252</v>
      </c>
      <c r="D52" s="210">
        <v>52680.591327376627</v>
      </c>
      <c r="E52" s="145"/>
      <c r="F52" s="146"/>
      <c r="G52" s="9"/>
      <c r="H52" s="9"/>
      <c r="I52" s="9"/>
      <c r="J52" s="9"/>
      <c r="K52" s="77"/>
      <c r="L52" s="77"/>
    </row>
    <row r="53" spans="2:12" hidden="1" x14ac:dyDescent="0.25">
      <c r="B53" s="341" t="s">
        <v>62</v>
      </c>
      <c r="C53" s="210">
        <v>36708.177999525833</v>
      </c>
      <c r="D53" s="210">
        <v>63112.329754147126</v>
      </c>
      <c r="E53" s="145"/>
      <c r="F53" s="146"/>
      <c r="G53" s="9"/>
      <c r="H53" s="9"/>
      <c r="I53" s="9"/>
      <c r="J53" s="9"/>
      <c r="K53" s="77"/>
      <c r="L53" s="77"/>
    </row>
    <row r="54" spans="2:12" hidden="1" x14ac:dyDescent="0.25">
      <c r="B54" s="341" t="s">
        <v>63</v>
      </c>
      <c r="C54" s="210">
        <v>15215.818184990858</v>
      </c>
      <c r="D54" s="210">
        <v>79580.165950345632</v>
      </c>
      <c r="E54" s="145"/>
      <c r="F54" s="146"/>
      <c r="G54" s="9"/>
      <c r="H54" s="9"/>
      <c r="I54" s="9"/>
      <c r="J54" s="9"/>
      <c r="K54" s="77"/>
      <c r="L54" s="77"/>
    </row>
    <row r="55" spans="2:12" hidden="1" x14ac:dyDescent="0.25">
      <c r="B55" s="341" t="s">
        <v>64</v>
      </c>
      <c r="C55" s="210">
        <v>43192.395279627446</v>
      </c>
      <c r="D55" s="210">
        <v>98033.370647845295</v>
      </c>
      <c r="E55" s="145"/>
      <c r="F55" s="146"/>
      <c r="G55" s="9"/>
      <c r="H55" s="9"/>
      <c r="I55" s="9"/>
      <c r="J55" s="9"/>
      <c r="K55" s="77"/>
      <c r="L55" s="77"/>
    </row>
    <row r="56" spans="2:12" hidden="1" x14ac:dyDescent="0.25">
      <c r="B56" s="341" t="s">
        <v>65</v>
      </c>
      <c r="C56" s="210">
        <v>27212.070679317905</v>
      </c>
      <c r="D56" s="210">
        <v>268831.41005360917</v>
      </c>
      <c r="E56" s="145"/>
      <c r="F56" s="146"/>
      <c r="G56" s="9"/>
      <c r="H56" s="9"/>
      <c r="I56" s="9"/>
      <c r="J56" s="9"/>
      <c r="K56" s="77"/>
      <c r="L56" s="77"/>
    </row>
    <row r="57" spans="2:12" hidden="1" x14ac:dyDescent="0.25">
      <c r="B57" s="341" t="s">
        <v>83</v>
      </c>
      <c r="C57" s="210">
        <f>SUM(C37:C56)</f>
        <v>1062697.5000000002</v>
      </c>
      <c r="D57" s="210">
        <f>SUM(D37:D56)</f>
        <v>1062697.5000000002</v>
      </c>
      <c r="E57" s="145"/>
      <c r="F57" s="155"/>
      <c r="G57" s="9"/>
      <c r="H57" s="9"/>
      <c r="I57" s="9"/>
      <c r="J57" s="9"/>
      <c r="K57" s="77"/>
      <c r="L57" s="77"/>
    </row>
    <row r="58" spans="2:12" hidden="1" x14ac:dyDescent="0.25">
      <c r="B58" s="9"/>
      <c r="C58" s="9"/>
      <c r="D58" s="9"/>
      <c r="E58" s="9"/>
      <c r="F58" s="9"/>
      <c r="G58" s="9"/>
      <c r="H58" s="9"/>
      <c r="I58" s="9"/>
      <c r="J58" s="9"/>
      <c r="K58" s="77"/>
      <c r="L58" s="77"/>
    </row>
    <row r="59" spans="2:12" x14ac:dyDescent="0.25">
      <c r="C59" s="9"/>
      <c r="D59" s="9"/>
      <c r="E59" s="9"/>
      <c r="F59" s="9"/>
      <c r="G59" s="9"/>
      <c r="H59" s="9"/>
      <c r="I59" s="9"/>
      <c r="J59" s="9"/>
      <c r="K59" s="77"/>
      <c r="L59" s="77"/>
    </row>
    <row r="60" spans="2:12" x14ac:dyDescent="0.25">
      <c r="B60" s="9"/>
      <c r="C60" s="9"/>
      <c r="D60" s="9"/>
      <c r="E60" s="9"/>
      <c r="F60" s="9"/>
      <c r="G60" s="9"/>
      <c r="H60" s="9"/>
      <c r="I60" s="9"/>
      <c r="J60" s="9"/>
      <c r="K60" s="77"/>
      <c r="L60" s="77"/>
    </row>
    <row r="61" spans="2:12" ht="15.75" hidden="1" x14ac:dyDescent="0.25">
      <c r="B61" s="838" t="s">
        <v>117</v>
      </c>
      <c r="C61" s="838"/>
      <c r="D61" s="838"/>
      <c r="E61" s="838"/>
      <c r="F61" s="838"/>
      <c r="G61" s="838"/>
      <c r="H61" s="838"/>
      <c r="I61" s="255"/>
      <c r="J61" s="255"/>
      <c r="K61" s="256"/>
      <c r="L61" s="256"/>
    </row>
    <row r="62" spans="2:12" hidden="1" x14ac:dyDescent="0.25">
      <c r="B62" s="9"/>
      <c r="C62" s="9"/>
      <c r="D62" s="9"/>
      <c r="E62" s="9"/>
      <c r="F62" s="9"/>
      <c r="G62" s="9"/>
      <c r="H62" s="9"/>
      <c r="I62" s="9"/>
      <c r="J62" s="9"/>
      <c r="K62" s="77"/>
      <c r="L62" s="77"/>
    </row>
    <row r="63" spans="2:12" hidden="1" x14ac:dyDescent="0.25">
      <c r="B63" s="1087" t="s">
        <v>84</v>
      </c>
      <c r="C63" s="106" t="s">
        <v>85</v>
      </c>
      <c r="D63" s="106" t="s">
        <v>21</v>
      </c>
      <c r="E63" s="138" t="s">
        <v>119</v>
      </c>
      <c r="F63" s="138" t="s">
        <v>83</v>
      </c>
      <c r="G63" s="106" t="s">
        <v>120</v>
      </c>
      <c r="H63" s="106" t="s">
        <v>121</v>
      </c>
      <c r="I63" s="258"/>
      <c r="J63" s="258"/>
      <c r="K63" s="77"/>
      <c r="L63" s="77"/>
    </row>
    <row r="64" spans="2:12" hidden="1" x14ac:dyDescent="0.25">
      <c r="B64" s="1088"/>
      <c r="C64" s="23" t="s">
        <v>90</v>
      </c>
      <c r="D64" s="23" t="s">
        <v>31</v>
      </c>
      <c r="E64" s="139" t="s">
        <v>123</v>
      </c>
      <c r="F64" s="139" t="s">
        <v>239</v>
      </c>
      <c r="G64" s="23" t="s">
        <v>125</v>
      </c>
      <c r="H64" s="23" t="s">
        <v>126</v>
      </c>
      <c r="I64" s="258"/>
      <c r="J64" s="258"/>
      <c r="K64" s="77"/>
      <c r="L64" s="77"/>
    </row>
    <row r="65" spans="2:10" hidden="1" x14ac:dyDescent="0.25">
      <c r="B65" s="1088"/>
      <c r="C65" s="140">
        <v>2014</v>
      </c>
      <c r="D65" s="140" t="s">
        <v>37</v>
      </c>
      <c r="E65" s="139">
        <v>2015</v>
      </c>
      <c r="F65" s="139" t="s">
        <v>130</v>
      </c>
      <c r="G65" s="23">
        <v>2014</v>
      </c>
      <c r="H65" s="23" t="s">
        <v>131</v>
      </c>
      <c r="I65" s="258"/>
      <c r="J65" s="258"/>
    </row>
    <row r="66" spans="2:10" hidden="1" x14ac:dyDescent="0.25">
      <c r="B66" s="1089"/>
      <c r="C66" s="141" t="s">
        <v>71</v>
      </c>
      <c r="D66" s="141" t="s">
        <v>98</v>
      </c>
      <c r="E66" s="141" t="s">
        <v>72</v>
      </c>
      <c r="F66" s="141" t="s">
        <v>99</v>
      </c>
      <c r="G66" s="141" t="s">
        <v>74</v>
      </c>
      <c r="H66" s="141" t="s">
        <v>101</v>
      </c>
      <c r="I66" s="162"/>
      <c r="J66" s="162"/>
    </row>
    <row r="67" spans="2:10" hidden="1" x14ac:dyDescent="0.25">
      <c r="B67" s="142" t="s">
        <v>46</v>
      </c>
      <c r="C67" s="143">
        <v>3.62</v>
      </c>
      <c r="D67" s="342">
        <f>[7]Datos!I$13*C67%</f>
        <v>35350314.182820007</v>
      </c>
      <c r="E67" s="307" t="e">
        <f>M9</f>
        <v>#REF!</v>
      </c>
      <c r="F67" s="171" t="e">
        <f>D67+E67</f>
        <v>#REF!</v>
      </c>
      <c r="G67" s="171" t="e">
        <f>F$87*C67%</f>
        <v>#REF!</v>
      </c>
      <c r="H67" s="343" t="e">
        <f>F67-G67</f>
        <v>#REF!</v>
      </c>
      <c r="I67" s="343"/>
      <c r="J67" s="343"/>
    </row>
    <row r="68" spans="2:10" hidden="1" x14ac:dyDescent="0.25">
      <c r="B68" s="145" t="s">
        <v>47</v>
      </c>
      <c r="C68" s="119">
        <v>2.4700000000000002</v>
      </c>
      <c r="D68" s="344">
        <f>[7]Datos!I$13*C68%</f>
        <v>24120241.997670002</v>
      </c>
      <c r="E68" s="307" t="e">
        <f t="shared" ref="E68:E87" si="6">M10</f>
        <v>#REF!</v>
      </c>
      <c r="F68" s="171" t="e">
        <f t="shared" ref="F68:F87" si="7">D68+E68</f>
        <v>#REF!</v>
      </c>
      <c r="G68" s="171" t="e">
        <f t="shared" ref="G68:G87" si="8">F$87*C68%</f>
        <v>#REF!</v>
      </c>
      <c r="H68" s="343" t="e">
        <f t="shared" ref="H68:H86" si="9">F68-G68</f>
        <v>#REF!</v>
      </c>
      <c r="I68" s="343"/>
      <c r="J68" s="343"/>
    </row>
    <row r="69" spans="2:10" hidden="1" x14ac:dyDescent="0.25">
      <c r="B69" s="145" t="s">
        <v>48</v>
      </c>
      <c r="C69" s="119">
        <v>2.33</v>
      </c>
      <c r="D69" s="344">
        <f>[7]Datos!I$13*C69%</f>
        <v>22753102.77513</v>
      </c>
      <c r="E69" s="307" t="e">
        <f t="shared" si="6"/>
        <v>#REF!</v>
      </c>
      <c r="F69" s="171" t="e">
        <f t="shared" si="7"/>
        <v>#REF!</v>
      </c>
      <c r="G69" s="171" t="e">
        <f t="shared" si="8"/>
        <v>#REF!</v>
      </c>
      <c r="H69" s="343" t="e">
        <f t="shared" si="9"/>
        <v>#REF!</v>
      </c>
      <c r="I69" s="343"/>
      <c r="J69" s="343"/>
    </row>
    <row r="70" spans="2:10" hidden="1" x14ac:dyDescent="0.25">
      <c r="B70" s="145" t="s">
        <v>49</v>
      </c>
      <c r="C70" s="119">
        <v>2.81</v>
      </c>
      <c r="D70" s="344">
        <f>[7]Datos!I$13*C70%</f>
        <v>27440437.252410002</v>
      </c>
      <c r="E70" s="307" t="e">
        <f t="shared" si="6"/>
        <v>#REF!</v>
      </c>
      <c r="F70" s="171" t="e">
        <f t="shared" si="7"/>
        <v>#REF!</v>
      </c>
      <c r="G70" s="171" t="e">
        <f t="shared" si="8"/>
        <v>#REF!</v>
      </c>
      <c r="H70" s="343" t="e">
        <f t="shared" si="9"/>
        <v>#REF!</v>
      </c>
      <c r="I70" s="343"/>
      <c r="J70" s="343"/>
    </row>
    <row r="71" spans="2:10" hidden="1" x14ac:dyDescent="0.25">
      <c r="B71" s="145" t="s">
        <v>50</v>
      </c>
      <c r="C71" s="119">
        <v>4.6399999999999997</v>
      </c>
      <c r="D71" s="344">
        <f>[7]Datos!I$13*C71%</f>
        <v>45310899.947039999</v>
      </c>
      <c r="E71" s="307" t="e">
        <f t="shared" si="6"/>
        <v>#REF!</v>
      </c>
      <c r="F71" s="171" t="e">
        <f t="shared" si="7"/>
        <v>#REF!</v>
      </c>
      <c r="G71" s="171" t="e">
        <f t="shared" si="8"/>
        <v>#REF!</v>
      </c>
      <c r="H71" s="343" t="e">
        <f t="shared" si="9"/>
        <v>#REF!</v>
      </c>
      <c r="I71" s="343"/>
      <c r="J71" s="343"/>
    </row>
    <row r="72" spans="2:10" hidden="1" x14ac:dyDescent="0.25">
      <c r="B72" s="145" t="s">
        <v>51</v>
      </c>
      <c r="C72" s="119">
        <v>1.5</v>
      </c>
      <c r="D72" s="344">
        <f>[7]Datos!I$13*C72%</f>
        <v>14647920.2415</v>
      </c>
      <c r="E72" s="307" t="e">
        <f t="shared" si="6"/>
        <v>#REF!</v>
      </c>
      <c r="F72" s="171" t="e">
        <f t="shared" si="7"/>
        <v>#REF!</v>
      </c>
      <c r="G72" s="171" t="e">
        <f t="shared" si="8"/>
        <v>#REF!</v>
      </c>
      <c r="H72" s="343" t="e">
        <f t="shared" si="9"/>
        <v>#REF!</v>
      </c>
      <c r="I72" s="343"/>
      <c r="J72" s="343"/>
    </row>
    <row r="73" spans="2:10" hidden="1" x14ac:dyDescent="0.25">
      <c r="B73" s="145" t="s">
        <v>52</v>
      </c>
      <c r="C73" s="119">
        <v>1.53</v>
      </c>
      <c r="D73" s="344">
        <f>[7]Datos!I$13*C73%</f>
        <v>14940878.646330001</v>
      </c>
      <c r="E73" s="307" t="e">
        <f t="shared" si="6"/>
        <v>#REF!</v>
      </c>
      <c r="F73" s="171" t="e">
        <f t="shared" si="7"/>
        <v>#REF!</v>
      </c>
      <c r="G73" s="171" t="e">
        <f t="shared" si="8"/>
        <v>#REF!</v>
      </c>
      <c r="H73" s="343" t="e">
        <f t="shared" si="9"/>
        <v>#REF!</v>
      </c>
      <c r="I73" s="343"/>
      <c r="J73" s="343"/>
    </row>
    <row r="74" spans="2:10" hidden="1" x14ac:dyDescent="0.25">
      <c r="B74" s="145" t="s">
        <v>53</v>
      </c>
      <c r="C74" s="119">
        <v>3.16</v>
      </c>
      <c r="D74" s="344">
        <f>[7]Datos!I$13*C74%</f>
        <v>30858285.308760002</v>
      </c>
      <c r="E74" s="307" t="e">
        <f t="shared" si="6"/>
        <v>#REF!</v>
      </c>
      <c r="F74" s="171" t="e">
        <f t="shared" si="7"/>
        <v>#REF!</v>
      </c>
      <c r="G74" s="171" t="e">
        <f t="shared" si="8"/>
        <v>#REF!</v>
      </c>
      <c r="H74" s="343" t="e">
        <f t="shared" si="9"/>
        <v>#REF!</v>
      </c>
      <c r="I74" s="343"/>
      <c r="J74" s="343"/>
    </row>
    <row r="75" spans="2:10" hidden="1" x14ac:dyDescent="0.25">
      <c r="B75" s="145" t="s">
        <v>54</v>
      </c>
      <c r="C75" s="119">
        <v>2.81</v>
      </c>
      <c r="D75" s="344">
        <f>[7]Datos!I$13*C75%</f>
        <v>27440437.252410002</v>
      </c>
      <c r="E75" s="307" t="e">
        <f t="shared" si="6"/>
        <v>#REF!</v>
      </c>
      <c r="F75" s="171" t="e">
        <f t="shared" si="7"/>
        <v>#REF!</v>
      </c>
      <c r="G75" s="171" t="e">
        <f t="shared" si="8"/>
        <v>#REF!</v>
      </c>
      <c r="H75" s="343" t="e">
        <f t="shared" si="9"/>
        <v>#REF!</v>
      </c>
      <c r="I75" s="343"/>
      <c r="J75" s="343"/>
    </row>
    <row r="76" spans="2:10" hidden="1" x14ac:dyDescent="0.25">
      <c r="B76" s="145" t="s">
        <v>55</v>
      </c>
      <c r="C76" s="119">
        <v>1.6</v>
      </c>
      <c r="D76" s="344">
        <f>[7]Datos!I$13*C76%</f>
        <v>15624448.2576</v>
      </c>
      <c r="E76" s="307" t="e">
        <f t="shared" si="6"/>
        <v>#REF!</v>
      </c>
      <c r="F76" s="171" t="e">
        <f t="shared" si="7"/>
        <v>#REF!</v>
      </c>
      <c r="G76" s="171" t="e">
        <f t="shared" si="8"/>
        <v>#REF!</v>
      </c>
      <c r="H76" s="343" t="e">
        <f t="shared" si="9"/>
        <v>#REF!</v>
      </c>
      <c r="I76" s="343"/>
      <c r="J76" s="343"/>
    </row>
    <row r="77" spans="2:10" hidden="1" x14ac:dyDescent="0.25">
      <c r="B77" s="145" t="s">
        <v>56</v>
      </c>
      <c r="C77" s="119">
        <v>2.84</v>
      </c>
      <c r="D77" s="344">
        <f>[7]Datos!I$13*C77%</f>
        <v>27733395.65724</v>
      </c>
      <c r="E77" s="307" t="e">
        <f t="shared" si="6"/>
        <v>#REF!</v>
      </c>
      <c r="F77" s="171" t="e">
        <f t="shared" si="7"/>
        <v>#REF!</v>
      </c>
      <c r="G77" s="171" t="e">
        <f t="shared" si="8"/>
        <v>#REF!</v>
      </c>
      <c r="H77" s="343" t="e">
        <f t="shared" si="9"/>
        <v>#REF!</v>
      </c>
      <c r="I77" s="343"/>
      <c r="J77" s="343"/>
    </row>
    <row r="78" spans="2:10" hidden="1" x14ac:dyDescent="0.25">
      <c r="B78" s="145" t="s">
        <v>57</v>
      </c>
      <c r="C78" s="119">
        <v>3.33</v>
      </c>
      <c r="D78" s="344">
        <f>[7]Datos!I$13*C78%</f>
        <v>32518382.936130002</v>
      </c>
      <c r="E78" s="307" t="e">
        <f t="shared" si="6"/>
        <v>#REF!</v>
      </c>
      <c r="F78" s="171" t="e">
        <f t="shared" si="7"/>
        <v>#REF!</v>
      </c>
      <c r="G78" s="171" t="e">
        <f t="shared" si="8"/>
        <v>#REF!</v>
      </c>
      <c r="H78" s="345" t="e">
        <f t="shared" si="9"/>
        <v>#REF!</v>
      </c>
      <c r="I78" s="345"/>
      <c r="J78" s="345"/>
    </row>
    <row r="79" spans="2:10" hidden="1" x14ac:dyDescent="0.25">
      <c r="B79" s="145" t="s">
        <v>58</v>
      </c>
      <c r="C79" s="119">
        <v>4.6900000000000004</v>
      </c>
      <c r="D79" s="344">
        <f>[7]Datos!I$13*C79%</f>
        <v>45799163.955090009</v>
      </c>
      <c r="E79" s="307" t="e">
        <f t="shared" si="6"/>
        <v>#REF!</v>
      </c>
      <c r="F79" s="171" t="e">
        <f t="shared" si="7"/>
        <v>#REF!</v>
      </c>
      <c r="G79" s="171" t="e">
        <f t="shared" si="8"/>
        <v>#REF!</v>
      </c>
      <c r="H79" s="345" t="e">
        <f t="shared" si="9"/>
        <v>#REF!</v>
      </c>
      <c r="I79" s="345"/>
      <c r="J79" s="345"/>
    </row>
    <row r="80" spans="2:10" hidden="1" x14ac:dyDescent="0.25">
      <c r="B80" s="145" t="s">
        <v>59</v>
      </c>
      <c r="C80" s="119">
        <v>2.13</v>
      </c>
      <c r="D80" s="344">
        <f>[7]Datos!I$13*C80%</f>
        <v>20800046.742929999</v>
      </c>
      <c r="E80" s="307" t="e">
        <f t="shared" si="6"/>
        <v>#REF!</v>
      </c>
      <c r="F80" s="171" t="e">
        <f t="shared" si="7"/>
        <v>#REF!</v>
      </c>
      <c r="G80" s="171" t="e">
        <f t="shared" si="8"/>
        <v>#REF!</v>
      </c>
      <c r="H80" s="343" t="e">
        <f t="shared" si="9"/>
        <v>#REF!</v>
      </c>
      <c r="I80" s="343"/>
      <c r="J80" s="343"/>
    </row>
    <row r="81" spans="2:10" hidden="1" x14ac:dyDescent="0.25">
      <c r="B81" s="145" t="s">
        <v>60</v>
      </c>
      <c r="C81" s="119">
        <v>2.81</v>
      </c>
      <c r="D81" s="344">
        <f>[7]Datos!I$13*C81%</f>
        <v>27440437.252410002</v>
      </c>
      <c r="E81" s="307" t="e">
        <f t="shared" si="6"/>
        <v>#REF!</v>
      </c>
      <c r="F81" s="171" t="e">
        <f t="shared" si="7"/>
        <v>#REF!</v>
      </c>
      <c r="G81" s="171" t="e">
        <f t="shared" si="8"/>
        <v>#REF!</v>
      </c>
      <c r="H81" s="343" t="e">
        <f t="shared" si="9"/>
        <v>#REF!</v>
      </c>
      <c r="I81" s="343"/>
      <c r="J81" s="343"/>
    </row>
    <row r="82" spans="2:10" hidden="1" x14ac:dyDescent="0.25">
      <c r="B82" s="145" t="s">
        <v>61</v>
      </c>
      <c r="C82" s="119">
        <v>8.34</v>
      </c>
      <c r="D82" s="344">
        <f>[7]Datos!I$13*C82%</f>
        <v>81442436.542740002</v>
      </c>
      <c r="E82" s="307" t="e">
        <f t="shared" si="6"/>
        <v>#REF!</v>
      </c>
      <c r="F82" s="171" t="e">
        <f t="shared" si="7"/>
        <v>#REF!</v>
      </c>
      <c r="G82" s="171" t="e">
        <f t="shared" si="8"/>
        <v>#REF!</v>
      </c>
      <c r="H82" s="345" t="e">
        <f t="shared" si="9"/>
        <v>#REF!</v>
      </c>
      <c r="I82" s="345"/>
      <c r="J82" s="345"/>
    </row>
    <row r="83" spans="2:10" hidden="1" x14ac:dyDescent="0.25">
      <c r="B83" s="145" t="s">
        <v>62</v>
      </c>
      <c r="C83" s="119">
        <v>3.5</v>
      </c>
      <c r="D83" s="344">
        <f>[7]Datos!I$13*C83%</f>
        <v>34178480.563500002</v>
      </c>
      <c r="E83" s="307" t="e">
        <f t="shared" si="6"/>
        <v>#REF!</v>
      </c>
      <c r="F83" s="171" t="e">
        <f t="shared" si="7"/>
        <v>#REF!</v>
      </c>
      <c r="G83" s="171" t="e">
        <f t="shared" si="8"/>
        <v>#REF!</v>
      </c>
      <c r="H83" s="343" t="e">
        <f t="shared" si="9"/>
        <v>#REF!</v>
      </c>
      <c r="I83" s="343"/>
      <c r="J83" s="343"/>
    </row>
    <row r="84" spans="2:10" hidden="1" x14ac:dyDescent="0.25">
      <c r="B84" s="145" t="s">
        <v>63</v>
      </c>
      <c r="C84" s="119">
        <v>39</v>
      </c>
      <c r="D84" s="344">
        <f>[7]Datos!I$13*C84%</f>
        <v>380845926.27900004</v>
      </c>
      <c r="E84" s="307" t="e">
        <f t="shared" si="6"/>
        <v>#REF!</v>
      </c>
      <c r="F84" s="171" t="e">
        <f t="shared" si="7"/>
        <v>#REF!</v>
      </c>
      <c r="G84" s="171" t="e">
        <f t="shared" si="8"/>
        <v>#REF!</v>
      </c>
      <c r="H84" s="345" t="e">
        <f t="shared" si="9"/>
        <v>#REF!</v>
      </c>
      <c r="I84" s="345"/>
      <c r="J84" s="345"/>
    </row>
    <row r="85" spans="2:10" hidden="1" x14ac:dyDescent="0.25">
      <c r="B85" s="145" t="s">
        <v>64</v>
      </c>
      <c r="C85" s="119">
        <v>3.79</v>
      </c>
      <c r="D85" s="344">
        <f>[7]Datos!I$13*C85%</f>
        <v>37010411.810190007</v>
      </c>
      <c r="E85" s="307" t="e">
        <f t="shared" si="6"/>
        <v>#REF!</v>
      </c>
      <c r="F85" s="171" t="e">
        <f t="shared" si="7"/>
        <v>#REF!</v>
      </c>
      <c r="G85" s="171" t="e">
        <f t="shared" si="8"/>
        <v>#REF!</v>
      </c>
      <c r="H85" s="345" t="e">
        <f t="shared" si="9"/>
        <v>#REF!</v>
      </c>
      <c r="I85" s="345"/>
      <c r="J85" s="345"/>
    </row>
    <row r="86" spans="2:10" hidden="1" x14ac:dyDescent="0.25">
      <c r="B86" s="145" t="s">
        <v>65</v>
      </c>
      <c r="C86" s="119">
        <v>3.1</v>
      </c>
      <c r="D86" s="344">
        <f>[7]Datos!I$13*C86%</f>
        <v>30272368.4991</v>
      </c>
      <c r="E86" s="307" t="e">
        <f t="shared" si="6"/>
        <v>#REF!</v>
      </c>
      <c r="F86" s="171" t="e">
        <f t="shared" si="7"/>
        <v>#REF!</v>
      </c>
      <c r="G86" s="171" t="e">
        <f t="shared" si="8"/>
        <v>#REF!</v>
      </c>
      <c r="H86" s="343" t="e">
        <f t="shared" si="9"/>
        <v>#REF!</v>
      </c>
      <c r="I86" s="343"/>
      <c r="J86" s="343"/>
    </row>
    <row r="87" spans="2:10" hidden="1" x14ac:dyDescent="0.25">
      <c r="B87" s="147" t="s">
        <v>66</v>
      </c>
      <c r="C87" s="148">
        <f>SUM(C67:C86)</f>
        <v>100</v>
      </c>
      <c r="D87" s="275">
        <f>SUM(D67:D86)</f>
        <v>976528016.0999999</v>
      </c>
      <c r="E87" s="346" t="e">
        <f t="shared" si="6"/>
        <v>#REF!</v>
      </c>
      <c r="F87" s="347" t="e">
        <f t="shared" si="7"/>
        <v>#REF!</v>
      </c>
      <c r="G87" s="347" t="e">
        <f t="shared" si="8"/>
        <v>#REF!</v>
      </c>
      <c r="H87" s="348">
        <v>0</v>
      </c>
      <c r="I87" s="349"/>
      <c r="J87" s="349"/>
    </row>
    <row r="88" spans="2:10" x14ac:dyDescent="0.25">
      <c r="B88" s="9"/>
      <c r="C88" s="9"/>
      <c r="D88" s="9"/>
      <c r="E88" s="9"/>
      <c r="F88" s="9"/>
      <c r="G88" s="9"/>
      <c r="H88" s="9"/>
      <c r="I88" s="9"/>
      <c r="J88" s="9"/>
    </row>
  </sheetData>
  <mergeCells count="12">
    <mergeCell ref="B3:M3"/>
    <mergeCell ref="B4:M4"/>
    <mergeCell ref="B5:B8"/>
    <mergeCell ref="C5:D5"/>
    <mergeCell ref="E5:F5"/>
    <mergeCell ref="C6:D6"/>
    <mergeCell ref="E6:F6"/>
    <mergeCell ref="B34:D34"/>
    <mergeCell ref="B35:B36"/>
    <mergeCell ref="C35:D35"/>
    <mergeCell ref="B61:H61"/>
    <mergeCell ref="B63:B66"/>
  </mergeCells>
  <pageMargins left="0.70866141732283472" right="0.70866141732283472" top="0.74803149606299213" bottom="0.74803149606299213" header="0.31496062992125984" footer="0.31496062992125984"/>
  <pageSetup scale="67"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pageSetUpPr fitToPage="1"/>
  </sheetPr>
  <dimension ref="B3:U38"/>
  <sheetViews>
    <sheetView zoomScaleNormal="100" workbookViewId="0">
      <selection sqref="A1:O1"/>
    </sheetView>
  </sheetViews>
  <sheetFormatPr baseColWidth="10" defaultRowHeight="15" x14ac:dyDescent="0.25"/>
  <cols>
    <col min="1" max="1" width="3.5703125" customWidth="1"/>
    <col min="2" max="2" width="21.7109375" customWidth="1"/>
    <col min="3" max="3" width="15.28515625" customWidth="1"/>
    <col min="4" max="4" width="14.5703125" customWidth="1"/>
    <col min="5" max="5" width="15.5703125" style="10" customWidth="1"/>
    <col min="6" max="6" width="18.42578125" customWidth="1"/>
    <col min="7" max="7" width="15" customWidth="1"/>
    <col min="8" max="8" width="13.28515625" customWidth="1"/>
    <col min="9" max="9" width="19.85546875" customWidth="1"/>
    <col min="10" max="10" width="15.28515625" customWidth="1"/>
    <col min="11" max="11" width="14.42578125" customWidth="1"/>
    <col min="12" max="12" width="15.42578125" customWidth="1"/>
  </cols>
  <sheetData>
    <row r="3" spans="2:14" s="5" customFormat="1" x14ac:dyDescent="0.25">
      <c r="B3" s="961"/>
      <c r="C3" s="961"/>
      <c r="D3" s="961"/>
      <c r="E3" s="961"/>
      <c r="F3" s="961"/>
      <c r="G3" s="961"/>
      <c r="H3" s="961"/>
      <c r="I3" s="961"/>
      <c r="J3" s="961"/>
      <c r="K3" s="961"/>
      <c r="L3" s="961"/>
    </row>
    <row r="4" spans="2:14" ht="15" customHeight="1" x14ac:dyDescent="0.25">
      <c r="B4" s="944" t="s">
        <v>401</v>
      </c>
      <c r="C4" s="944"/>
      <c r="D4" s="944"/>
      <c r="E4" s="944"/>
      <c r="F4" s="944"/>
      <c r="G4" s="944"/>
      <c r="H4" s="944"/>
      <c r="I4" s="944"/>
      <c r="J4" s="944"/>
      <c r="K4" s="944"/>
      <c r="L4" s="944"/>
    </row>
    <row r="5" spans="2:14" ht="15" customHeight="1" thickBot="1" x14ac:dyDescent="0.3">
      <c r="B5" s="944"/>
      <c r="C5" s="944"/>
      <c r="D5" s="944"/>
      <c r="E5" s="944"/>
      <c r="F5" s="944"/>
      <c r="G5" s="944"/>
      <c r="H5" s="944"/>
      <c r="I5" s="944"/>
      <c r="J5" s="944"/>
      <c r="K5" s="944"/>
      <c r="L5" s="944"/>
    </row>
    <row r="6" spans="2:14" ht="15" customHeight="1" thickBot="1" x14ac:dyDescent="0.3">
      <c r="B6" s="945" t="s">
        <v>14</v>
      </c>
      <c r="C6" s="948" t="s">
        <v>309</v>
      </c>
      <c r="D6" s="950" t="s">
        <v>310</v>
      </c>
      <c r="E6" s="952" t="s">
        <v>311</v>
      </c>
      <c r="F6" s="953"/>
      <c r="G6" s="954" t="s">
        <v>312</v>
      </c>
      <c r="H6" s="952"/>
      <c r="I6" s="953"/>
      <c r="J6" s="955" t="s">
        <v>313</v>
      </c>
      <c r="K6" s="955" t="s">
        <v>331</v>
      </c>
      <c r="L6" s="579" t="s">
        <v>169</v>
      </c>
    </row>
    <row r="7" spans="2:14" x14ac:dyDescent="0.25">
      <c r="B7" s="946"/>
      <c r="C7" s="949"/>
      <c r="D7" s="951"/>
      <c r="E7" s="957" t="s">
        <v>314</v>
      </c>
      <c r="F7" s="959" t="s">
        <v>315</v>
      </c>
      <c r="G7" s="955" t="s">
        <v>316</v>
      </c>
      <c r="H7" s="955" t="s">
        <v>317</v>
      </c>
      <c r="I7" s="955" t="s">
        <v>318</v>
      </c>
      <c r="J7" s="956"/>
      <c r="K7" s="956"/>
      <c r="L7" s="580" t="s">
        <v>319</v>
      </c>
    </row>
    <row r="8" spans="2:14" x14ac:dyDescent="0.25">
      <c r="B8" s="946"/>
      <c r="C8" s="949"/>
      <c r="D8" s="951"/>
      <c r="E8" s="958"/>
      <c r="F8" s="960"/>
      <c r="G8" s="956"/>
      <c r="H8" s="956"/>
      <c r="I8" s="956"/>
      <c r="J8" s="956"/>
      <c r="K8" s="956"/>
      <c r="L8" s="581" t="s">
        <v>320</v>
      </c>
    </row>
    <row r="9" spans="2:14" x14ac:dyDescent="0.25">
      <c r="B9" s="946"/>
      <c r="C9" s="949"/>
      <c r="D9" s="951"/>
      <c r="E9" s="958"/>
      <c r="F9" s="582">
        <v>0.7</v>
      </c>
      <c r="G9" s="956"/>
      <c r="H9" s="956"/>
      <c r="I9" s="956"/>
      <c r="J9" s="956"/>
      <c r="K9" s="581" t="s">
        <v>45</v>
      </c>
      <c r="L9" s="581" t="s">
        <v>321</v>
      </c>
    </row>
    <row r="10" spans="2:14" ht="15.75" thickBot="1" x14ac:dyDescent="0.3">
      <c r="B10" s="947"/>
      <c r="C10" s="583" t="s">
        <v>71</v>
      </c>
      <c r="D10" s="584" t="s">
        <v>98</v>
      </c>
      <c r="E10" s="585" t="s">
        <v>72</v>
      </c>
      <c r="F10" s="584" t="s">
        <v>322</v>
      </c>
      <c r="G10" s="583" t="s">
        <v>323</v>
      </c>
      <c r="H10" s="584" t="s">
        <v>324</v>
      </c>
      <c r="I10" s="586" t="s">
        <v>325</v>
      </c>
      <c r="J10" s="584" t="s">
        <v>326</v>
      </c>
      <c r="K10" s="584" t="s">
        <v>77</v>
      </c>
      <c r="L10" s="584" t="s">
        <v>327</v>
      </c>
    </row>
    <row r="11" spans="2:14" x14ac:dyDescent="0.25">
      <c r="B11" s="587" t="s">
        <v>46</v>
      </c>
      <c r="C11" s="588">
        <v>3.81</v>
      </c>
      <c r="D11" s="589">
        <v>2891598.5474999999</v>
      </c>
      <c r="E11" s="590">
        <f>FGP!E8</f>
        <v>3.0136241193535018</v>
      </c>
      <c r="F11" s="591">
        <f>E11*0.7</f>
        <v>2.1095368835474511</v>
      </c>
      <c r="G11" s="592">
        <f>1/E11</f>
        <v>0.33182638590459818</v>
      </c>
      <c r="H11" s="593">
        <f>G11/$G$31*100</f>
        <v>3.3056094868602481</v>
      </c>
      <c r="I11" s="594">
        <f>H11*0.3</f>
        <v>0.99168284605807444</v>
      </c>
      <c r="J11" s="595">
        <f>F11+I11</f>
        <v>3.1012197296055257</v>
      </c>
      <c r="K11" s="596">
        <f>$K$31*J11/100</f>
        <v>632314.35596577439</v>
      </c>
      <c r="L11" s="596">
        <f>D11+K11</f>
        <v>3523912.9034657744</v>
      </c>
      <c r="N11" s="123"/>
    </row>
    <row r="12" spans="2:14" x14ac:dyDescent="0.25">
      <c r="B12" s="587" t="s">
        <v>47</v>
      </c>
      <c r="C12" s="588">
        <v>1.63</v>
      </c>
      <c r="D12" s="589">
        <v>1237088.0925</v>
      </c>
      <c r="E12" s="590">
        <f>FGP!E9</f>
        <v>1.2459367229589724</v>
      </c>
      <c r="F12" s="591">
        <f t="shared" ref="F12:F30" si="0">E12*0.7</f>
        <v>0.87215570607128068</v>
      </c>
      <c r="G12" s="592">
        <f t="shared" ref="G12:G30" si="1">1/E12</f>
        <v>0.80260897810693166</v>
      </c>
      <c r="H12" s="591">
        <f t="shared" ref="H12:H30" si="2">G12/$G$31*100</f>
        <v>7.9954818693419583</v>
      </c>
      <c r="I12" s="594">
        <f t="shared" ref="I12:I30" si="3">H12*0.3</f>
        <v>2.3986445608025875</v>
      </c>
      <c r="J12" s="595">
        <f>F12+I12</f>
        <v>3.2708002668738683</v>
      </c>
      <c r="K12" s="596">
        <f t="shared" ref="K12:K30" si="4">$K$31*J12/100</f>
        <v>666890.49618038652</v>
      </c>
      <c r="L12" s="596">
        <f t="shared" ref="L12:L30" si="5">D12+K12</f>
        <v>1903978.5886803865</v>
      </c>
    </row>
    <row r="13" spans="2:14" x14ac:dyDescent="0.25">
      <c r="B13" s="587" t="s">
        <v>48</v>
      </c>
      <c r="C13" s="588">
        <v>1.32</v>
      </c>
      <c r="D13" s="589">
        <v>1001813.6699999999</v>
      </c>
      <c r="E13" s="590">
        <f>FGP!E10</f>
        <v>0.93374430169912959</v>
      </c>
      <c r="F13" s="591">
        <f t="shared" si="0"/>
        <v>0.65362101118939064</v>
      </c>
      <c r="G13" s="592">
        <f t="shared" si="1"/>
        <v>1.0709570041608878</v>
      </c>
      <c r="H13" s="591">
        <f t="shared" si="2"/>
        <v>10.668728538035783</v>
      </c>
      <c r="I13" s="594">
        <f t="shared" si="3"/>
        <v>3.2006185614107348</v>
      </c>
      <c r="J13" s="595">
        <f t="shared" ref="J13:J31" si="6">F13+I13</f>
        <v>3.8542395726001253</v>
      </c>
      <c r="K13" s="596">
        <f t="shared" si="4"/>
        <v>785849.19018184079</v>
      </c>
      <c r="L13" s="596">
        <f t="shared" si="5"/>
        <v>1787662.8601818406</v>
      </c>
    </row>
    <row r="14" spans="2:14" x14ac:dyDescent="0.25">
      <c r="B14" s="587" t="s">
        <v>49</v>
      </c>
      <c r="C14" s="588">
        <v>7.64</v>
      </c>
      <c r="D14" s="589">
        <v>5798376.0899999999</v>
      </c>
      <c r="E14" s="590">
        <f>FGP!E11</f>
        <v>15.187266887691669</v>
      </c>
      <c r="F14" s="591">
        <f t="shared" si="0"/>
        <v>10.631086821384168</v>
      </c>
      <c r="G14" s="592">
        <f t="shared" si="1"/>
        <v>6.5844632045706494E-2</v>
      </c>
      <c r="H14" s="591">
        <f t="shared" si="2"/>
        <v>0.6559353010935276</v>
      </c>
      <c r="I14" s="594">
        <f t="shared" si="3"/>
        <v>0.19678059032805828</v>
      </c>
      <c r="J14" s="595">
        <f t="shared" si="6"/>
        <v>10.827867411712226</v>
      </c>
      <c r="K14" s="596">
        <f t="shared" si="4"/>
        <v>2207717.1583680399</v>
      </c>
      <c r="L14" s="596">
        <f t="shared" si="5"/>
        <v>8006093.2483680397</v>
      </c>
    </row>
    <row r="15" spans="2:14" x14ac:dyDescent="0.25">
      <c r="B15" s="587" t="s">
        <v>50</v>
      </c>
      <c r="C15" s="588">
        <v>6.2</v>
      </c>
      <c r="D15" s="589">
        <v>4705488.4499999993</v>
      </c>
      <c r="E15" s="590">
        <f>FGP!E12</f>
        <v>6.2678071902196431</v>
      </c>
      <c r="F15" s="591">
        <f t="shared" si="0"/>
        <v>4.3874650331537497</v>
      </c>
      <c r="G15" s="592">
        <f t="shared" si="1"/>
        <v>0.15954543106565422</v>
      </c>
      <c r="H15" s="591">
        <f t="shared" si="2"/>
        <v>1.5893699624823181</v>
      </c>
      <c r="I15" s="594">
        <f t="shared" si="3"/>
        <v>0.47681098874469541</v>
      </c>
      <c r="J15" s="595">
        <f t="shared" si="6"/>
        <v>4.8642760218984451</v>
      </c>
      <c r="K15" s="596">
        <f t="shared" si="4"/>
        <v>991787.69265011384</v>
      </c>
      <c r="L15" s="596">
        <f t="shared" si="5"/>
        <v>5697276.1426501134</v>
      </c>
    </row>
    <row r="16" spans="2:14" x14ac:dyDescent="0.25">
      <c r="B16" s="587" t="s">
        <v>51</v>
      </c>
      <c r="C16" s="588">
        <v>7.23</v>
      </c>
      <c r="D16" s="589">
        <v>5487206.6924999999</v>
      </c>
      <c r="E16" s="590">
        <f>FGP!E13</f>
        <v>3.8487813406547868</v>
      </c>
      <c r="F16" s="591">
        <f t="shared" si="0"/>
        <v>2.6941469384583505</v>
      </c>
      <c r="G16" s="592">
        <f t="shared" si="1"/>
        <v>0.25982250262881174</v>
      </c>
      <c r="H16" s="591">
        <f t="shared" si="2"/>
        <v>2.588316559721993</v>
      </c>
      <c r="I16" s="594">
        <f t="shared" si="3"/>
        <v>0.77649496791659789</v>
      </c>
      <c r="J16" s="595">
        <f>F16+I16</f>
        <v>3.4706419063749485</v>
      </c>
      <c r="K16" s="596">
        <f t="shared" si="4"/>
        <v>707636.63756790548</v>
      </c>
      <c r="L16" s="596">
        <f t="shared" si="5"/>
        <v>6194843.3300679056</v>
      </c>
    </row>
    <row r="17" spans="2:12" x14ac:dyDescent="0.25">
      <c r="B17" s="587" t="s">
        <v>52</v>
      </c>
      <c r="C17" s="588">
        <v>2</v>
      </c>
      <c r="D17" s="589">
        <v>1517899.5</v>
      </c>
      <c r="E17" s="590">
        <f>FGP!E14</f>
        <v>0.98991789266473262</v>
      </c>
      <c r="F17" s="591">
        <f t="shared" si="0"/>
        <v>0.69294252486531283</v>
      </c>
      <c r="G17" s="592">
        <f t="shared" si="1"/>
        <v>1.0101847914963207</v>
      </c>
      <c r="H17" s="591">
        <f t="shared" si="2"/>
        <v>10.063323991396631</v>
      </c>
      <c r="I17" s="594">
        <f t="shared" si="3"/>
        <v>3.0189971974189893</v>
      </c>
      <c r="J17" s="595">
        <f>F17+I17</f>
        <v>3.7119397222843022</v>
      </c>
      <c r="K17" s="596">
        <f t="shared" si="4"/>
        <v>756835.36786299432</v>
      </c>
      <c r="L17" s="596">
        <f t="shared" si="5"/>
        <v>2274734.8678629943</v>
      </c>
    </row>
    <row r="18" spans="2:12" x14ac:dyDescent="0.25">
      <c r="B18" s="587" t="s">
        <v>53</v>
      </c>
      <c r="C18" s="588">
        <v>2.67</v>
      </c>
      <c r="D18" s="589">
        <v>2026395.8325</v>
      </c>
      <c r="E18" s="590">
        <f>FGP!E15</f>
        <v>2.3715130283878989</v>
      </c>
      <c r="F18" s="591">
        <f t="shared" si="0"/>
        <v>1.6600591198715291</v>
      </c>
      <c r="G18" s="592">
        <f t="shared" si="1"/>
        <v>0.42167172941056008</v>
      </c>
      <c r="H18" s="591">
        <f t="shared" si="2"/>
        <v>4.2006366229148018</v>
      </c>
      <c r="I18" s="594">
        <f t="shared" si="3"/>
        <v>1.2601909868744405</v>
      </c>
      <c r="J18" s="595">
        <f t="shared" si="6"/>
        <v>2.9202501067459696</v>
      </c>
      <c r="K18" s="596">
        <f t="shared" si="4"/>
        <v>595416.0706119776</v>
      </c>
      <c r="L18" s="596">
        <f t="shared" si="5"/>
        <v>2621811.9031119775</v>
      </c>
    </row>
    <row r="19" spans="2:12" x14ac:dyDescent="0.25">
      <c r="B19" s="587" t="s">
        <v>54</v>
      </c>
      <c r="C19" s="588">
        <v>2.2999999999999998</v>
      </c>
      <c r="D19" s="589">
        <v>1745584.425</v>
      </c>
      <c r="E19" s="590">
        <f>FGP!E16</f>
        <v>1.563876010153336</v>
      </c>
      <c r="F19" s="591">
        <f t="shared" si="0"/>
        <v>1.0947132071073351</v>
      </c>
      <c r="G19" s="592">
        <f t="shared" si="1"/>
        <v>0.63943688214895711</v>
      </c>
      <c r="H19" s="591">
        <f t="shared" si="2"/>
        <v>6.3699835626924477</v>
      </c>
      <c r="I19" s="594">
        <f t="shared" si="3"/>
        <v>1.9109950688077342</v>
      </c>
      <c r="J19" s="595">
        <f t="shared" si="6"/>
        <v>3.0057082759150693</v>
      </c>
      <c r="K19" s="596">
        <f t="shared" si="4"/>
        <v>612840.32039483543</v>
      </c>
      <c r="L19" s="596">
        <f t="shared" si="5"/>
        <v>2358424.7453948352</v>
      </c>
    </row>
    <row r="20" spans="2:12" x14ac:dyDescent="0.25">
      <c r="B20" s="587" t="s">
        <v>55</v>
      </c>
      <c r="C20" s="588">
        <v>2.31</v>
      </c>
      <c r="D20" s="589">
        <v>1753173.9224999999</v>
      </c>
      <c r="E20" s="590">
        <f>FGP!E17</f>
        <v>1.1104401937422297</v>
      </c>
      <c r="F20" s="591">
        <f t="shared" si="0"/>
        <v>0.77730813561956069</v>
      </c>
      <c r="G20" s="592">
        <f t="shared" si="1"/>
        <v>0.90054377141191044</v>
      </c>
      <c r="H20" s="591">
        <f t="shared" si="2"/>
        <v>8.9710950080020968</v>
      </c>
      <c r="I20" s="594">
        <f t="shared" si="3"/>
        <v>2.691328502400629</v>
      </c>
      <c r="J20" s="595">
        <f>F20+I20</f>
        <v>3.4686366380201896</v>
      </c>
      <c r="K20" s="596">
        <f t="shared" si="4"/>
        <v>707227.77909323061</v>
      </c>
      <c r="L20" s="596">
        <f t="shared" si="5"/>
        <v>2460401.7015932305</v>
      </c>
    </row>
    <row r="21" spans="2:12" x14ac:dyDescent="0.25">
      <c r="B21" s="587" t="s">
        <v>56</v>
      </c>
      <c r="C21" s="588">
        <v>5.05</v>
      </c>
      <c r="D21" s="589">
        <v>3832696.2374999993</v>
      </c>
      <c r="E21" s="590">
        <f>FGP!E18</f>
        <v>2.7169725186489848</v>
      </c>
      <c r="F21" s="591">
        <f t="shared" si="0"/>
        <v>1.9018807630542893</v>
      </c>
      <c r="G21" s="592">
        <f t="shared" si="1"/>
        <v>0.36805672237614323</v>
      </c>
      <c r="H21" s="591">
        <f t="shared" si="2"/>
        <v>3.6665311888098664</v>
      </c>
      <c r="I21" s="594">
        <f t="shared" si="3"/>
        <v>1.09995935664296</v>
      </c>
      <c r="J21" s="595">
        <f t="shared" si="6"/>
        <v>3.0018401196972491</v>
      </c>
      <c r="K21" s="596">
        <f t="shared" si="4"/>
        <v>612051.63370994921</v>
      </c>
      <c r="L21" s="596">
        <f t="shared" si="5"/>
        <v>4444747.8712099483</v>
      </c>
    </row>
    <row r="22" spans="2:12" x14ac:dyDescent="0.25">
      <c r="B22" s="587" t="s">
        <v>57</v>
      </c>
      <c r="C22" s="588">
        <v>2.58</v>
      </c>
      <c r="D22" s="589">
        <v>1958090.3549999997</v>
      </c>
      <c r="E22" s="590">
        <f>FGP!E19</f>
        <v>1.9503729796933278</v>
      </c>
      <c r="F22" s="591">
        <f t="shared" si="0"/>
        <v>1.3652610857853293</v>
      </c>
      <c r="G22" s="592">
        <f t="shared" si="1"/>
        <v>0.51272244355909691</v>
      </c>
      <c r="H22" s="591">
        <f t="shared" si="2"/>
        <v>5.1076714979573694</v>
      </c>
      <c r="I22" s="594">
        <f t="shared" si="3"/>
        <v>1.5323014493872107</v>
      </c>
      <c r="J22" s="595">
        <f t="shared" si="6"/>
        <v>2.8975625351725398</v>
      </c>
      <c r="K22" s="596">
        <f t="shared" si="4"/>
        <v>590790.25288260775</v>
      </c>
      <c r="L22" s="596">
        <f t="shared" si="5"/>
        <v>2548880.6078826077</v>
      </c>
    </row>
    <row r="23" spans="2:12" x14ac:dyDescent="0.25">
      <c r="B23" s="587" t="s">
        <v>58</v>
      </c>
      <c r="C23" s="588">
        <v>3.39</v>
      </c>
      <c r="D23" s="589">
        <v>2572839.6525000003</v>
      </c>
      <c r="E23" s="590">
        <f>FGP!E20</f>
        <v>3.3605405615416495</v>
      </c>
      <c r="F23" s="591">
        <f t="shared" si="0"/>
        <v>2.3523783930791544</v>
      </c>
      <c r="G23" s="592">
        <f t="shared" si="1"/>
        <v>0.29757117394864879</v>
      </c>
      <c r="H23" s="591">
        <f t="shared" si="2"/>
        <v>2.9643637076636828</v>
      </c>
      <c r="I23" s="594">
        <f t="shared" si="3"/>
        <v>0.88930911229910481</v>
      </c>
      <c r="J23" s="595">
        <f t="shared" si="6"/>
        <v>3.241687505378259</v>
      </c>
      <c r="K23" s="596">
        <f t="shared" si="4"/>
        <v>660954.63266844407</v>
      </c>
      <c r="L23" s="596">
        <f t="shared" si="5"/>
        <v>3233794.2851684443</v>
      </c>
    </row>
    <row r="24" spans="2:12" x14ac:dyDescent="0.25">
      <c r="B24" s="587" t="s">
        <v>59</v>
      </c>
      <c r="C24" s="588">
        <v>0.82</v>
      </c>
      <c r="D24" s="589">
        <v>622338.79499999993</v>
      </c>
      <c r="E24" s="590">
        <f>FGP!E21</f>
        <v>0.62187564753418989</v>
      </c>
      <c r="F24" s="591">
        <f t="shared" si="0"/>
        <v>0.43531295327393288</v>
      </c>
      <c r="G24" s="592">
        <f t="shared" si="1"/>
        <v>1.6080385266172066</v>
      </c>
      <c r="H24" s="591">
        <f t="shared" si="2"/>
        <v>16.01906187879484</v>
      </c>
      <c r="I24" s="594">
        <f t="shared" si="3"/>
        <v>4.8057185636384521</v>
      </c>
      <c r="J24" s="595">
        <f>F24+I24</f>
        <v>5.2410315169123853</v>
      </c>
      <c r="K24" s="596">
        <f t="shared" si="4"/>
        <v>1068605.1802702539</v>
      </c>
      <c r="L24" s="596">
        <f t="shared" si="5"/>
        <v>1690943.9752702538</v>
      </c>
    </row>
    <row r="25" spans="2:12" x14ac:dyDescent="0.25">
      <c r="B25" s="587" t="s">
        <v>60</v>
      </c>
      <c r="C25" s="588">
        <v>2.27</v>
      </c>
      <c r="D25" s="589">
        <v>1722815.9325000003</v>
      </c>
      <c r="E25" s="590">
        <f>FGP!E22</f>
        <v>2.0163405252797348</v>
      </c>
      <c r="F25" s="591">
        <f t="shared" si="0"/>
        <v>1.4114383676958142</v>
      </c>
      <c r="G25" s="592">
        <f t="shared" si="1"/>
        <v>0.49594797479025327</v>
      </c>
      <c r="H25" s="591">
        <f t="shared" si="2"/>
        <v>4.940566513378859</v>
      </c>
      <c r="I25" s="594">
        <f t="shared" si="3"/>
        <v>1.4821699540136577</v>
      </c>
      <c r="J25" s="595">
        <f t="shared" si="6"/>
        <v>2.8936083217094719</v>
      </c>
      <c r="K25" s="596">
        <f t="shared" si="4"/>
        <v>589984.01980102959</v>
      </c>
      <c r="L25" s="596">
        <f t="shared" si="5"/>
        <v>2312799.95230103</v>
      </c>
    </row>
    <row r="26" spans="2:12" x14ac:dyDescent="0.25">
      <c r="B26" s="587" t="s">
        <v>61</v>
      </c>
      <c r="C26" s="588">
        <v>8.59</v>
      </c>
      <c r="D26" s="589">
        <v>6519378.3525</v>
      </c>
      <c r="E26" s="590">
        <f>FGP!E23</f>
        <v>7.6069888365105687</v>
      </c>
      <c r="F26" s="591">
        <f t="shared" si="0"/>
        <v>5.3248921855573981</v>
      </c>
      <c r="G26" s="592">
        <f t="shared" si="1"/>
        <v>0.13145806067183791</v>
      </c>
      <c r="H26" s="591">
        <f t="shared" si="2"/>
        <v>1.3095673850542211</v>
      </c>
      <c r="I26" s="594">
        <f t="shared" si="3"/>
        <v>0.39287021551626633</v>
      </c>
      <c r="J26" s="595">
        <f t="shared" si="6"/>
        <v>5.7177624010736645</v>
      </c>
      <c r="K26" s="596">
        <f t="shared" si="4"/>
        <v>1165806.8648557498</v>
      </c>
      <c r="L26" s="596">
        <f t="shared" si="5"/>
        <v>7685185.2173557496</v>
      </c>
    </row>
    <row r="27" spans="2:12" x14ac:dyDescent="0.25">
      <c r="B27" s="587" t="s">
        <v>62</v>
      </c>
      <c r="C27" s="588">
        <v>4.55</v>
      </c>
      <c r="D27" s="589">
        <v>3453221.3624999993</v>
      </c>
      <c r="E27" s="590">
        <f>FGP!E24</f>
        <v>3.0057727673021133</v>
      </c>
      <c r="F27" s="591">
        <f t="shared" si="0"/>
        <v>2.104040937111479</v>
      </c>
      <c r="G27" s="592">
        <f t="shared" si="1"/>
        <v>0.33269314662717114</v>
      </c>
      <c r="H27" s="591">
        <f t="shared" si="2"/>
        <v>3.3142440397140369</v>
      </c>
      <c r="I27" s="594">
        <f t="shared" si="3"/>
        <v>0.99427321191421103</v>
      </c>
      <c r="J27" s="595">
        <f t="shared" si="6"/>
        <v>3.0983141490256898</v>
      </c>
      <c r="K27" s="596">
        <f t="shared" si="4"/>
        <v>631721.93089653261</v>
      </c>
      <c r="L27" s="596">
        <f t="shared" si="5"/>
        <v>4084943.2933965321</v>
      </c>
    </row>
    <row r="28" spans="2:12" x14ac:dyDescent="0.25">
      <c r="B28" s="587" t="s">
        <v>63</v>
      </c>
      <c r="C28" s="588">
        <v>29.02</v>
      </c>
      <c r="D28" s="589">
        <v>22024721.744999997</v>
      </c>
      <c r="E28" s="590">
        <f>FGP!E25</f>
        <v>34.475044032324909</v>
      </c>
      <c r="F28" s="591">
        <f t="shared" si="0"/>
        <v>24.132530822627434</v>
      </c>
      <c r="G28" s="592">
        <f t="shared" si="1"/>
        <v>2.9006489420647812E-2</v>
      </c>
      <c r="H28" s="591">
        <f t="shared" si="2"/>
        <v>0.28895871661324735</v>
      </c>
      <c r="I28" s="594">
        <f t="shared" si="3"/>
        <v>8.6687614983974204E-2</v>
      </c>
      <c r="J28" s="595">
        <f t="shared" si="6"/>
        <v>24.219218437611406</v>
      </c>
      <c r="K28" s="596">
        <f t="shared" si="4"/>
        <v>4938108.5003998158</v>
      </c>
      <c r="L28" s="596">
        <f t="shared" si="5"/>
        <v>26962830.245399814</v>
      </c>
    </row>
    <row r="29" spans="2:12" x14ac:dyDescent="0.25">
      <c r="B29" s="587" t="s">
        <v>64</v>
      </c>
      <c r="C29" s="588">
        <v>2.73</v>
      </c>
      <c r="D29" s="589">
        <v>2071932.8175000001</v>
      </c>
      <c r="E29" s="590">
        <f>FGP!E26</f>
        <v>2.4334334852880231</v>
      </c>
      <c r="F29" s="591">
        <f t="shared" si="0"/>
        <v>1.703403439701616</v>
      </c>
      <c r="G29" s="592">
        <f t="shared" si="1"/>
        <v>0.41094199042043644</v>
      </c>
      <c r="H29" s="591">
        <f t="shared" si="2"/>
        <v>4.0937484172026606</v>
      </c>
      <c r="I29" s="594">
        <f t="shared" si="3"/>
        <v>1.2281245251607982</v>
      </c>
      <c r="J29" s="595">
        <f t="shared" si="6"/>
        <v>2.931527964862414</v>
      </c>
      <c r="K29" s="596">
        <f t="shared" si="4"/>
        <v>597715.53734227596</v>
      </c>
      <c r="L29" s="596">
        <f t="shared" si="5"/>
        <v>2669648.3548422763</v>
      </c>
    </row>
    <row r="30" spans="2:12" ht="15.75" thickBot="1" x14ac:dyDescent="0.3">
      <c r="B30" s="587" t="s">
        <v>65</v>
      </c>
      <c r="C30" s="588">
        <v>3.89</v>
      </c>
      <c r="D30" s="597">
        <v>2952314.5274999999</v>
      </c>
      <c r="E30" s="590">
        <f>FGP!E27</f>
        <v>5.2797509583506006</v>
      </c>
      <c r="F30" s="591">
        <f t="shared" si="0"/>
        <v>3.6958256708454202</v>
      </c>
      <c r="G30" s="592">
        <f t="shared" si="1"/>
        <v>0.18940287295528063</v>
      </c>
      <c r="H30" s="591">
        <f t="shared" si="2"/>
        <v>1.8868057522694013</v>
      </c>
      <c r="I30" s="594">
        <f t="shared" si="3"/>
        <v>0.56604172568082034</v>
      </c>
      <c r="J30" s="595">
        <f t="shared" si="6"/>
        <v>4.2618673965262408</v>
      </c>
      <c r="K30" s="596">
        <f t="shared" si="4"/>
        <v>868961.30329623714</v>
      </c>
      <c r="L30" s="596">
        <f t="shared" si="5"/>
        <v>3821275.8307962371</v>
      </c>
    </row>
    <row r="31" spans="2:12" ht="15.75" thickBot="1" x14ac:dyDescent="0.3">
      <c r="B31" s="598" t="s">
        <v>66</v>
      </c>
      <c r="C31" s="599">
        <f t="shared" ref="C31:I31" si="7">SUM(C11:C30)</f>
        <v>100</v>
      </c>
      <c r="D31" s="653">
        <f t="shared" si="7"/>
        <v>75894975</v>
      </c>
      <c r="E31" s="600">
        <f t="shared" si="7"/>
        <v>100</v>
      </c>
      <c r="F31" s="601">
        <f t="shared" si="7"/>
        <v>70</v>
      </c>
      <c r="G31" s="602">
        <f t="shared" si="7"/>
        <v>10.038281509767062</v>
      </c>
      <c r="H31" s="601">
        <f t="shared" si="7"/>
        <v>99.999999999999986</v>
      </c>
      <c r="I31" s="603">
        <f t="shared" si="7"/>
        <v>29.999999999999993</v>
      </c>
      <c r="J31" s="604">
        <f t="shared" si="6"/>
        <v>100</v>
      </c>
      <c r="K31" s="605">
        <f>Datos!K41</f>
        <v>20389214.924999997</v>
      </c>
      <c r="L31" s="605">
        <f>SUM(L11:L30)</f>
        <v>96284189.924999997</v>
      </c>
    </row>
    <row r="32" spans="2:12" x14ac:dyDescent="0.25">
      <c r="B32" s="606" t="s">
        <v>328</v>
      </c>
      <c r="D32" s="607"/>
      <c r="E32" s="608"/>
      <c r="F32" s="5"/>
      <c r="G32" s="5"/>
      <c r="H32" s="5"/>
      <c r="I32" s="5"/>
      <c r="J32" s="94"/>
      <c r="K32" s="5"/>
    </row>
    <row r="33" spans="3:21" ht="6.75" customHeight="1" x14ac:dyDescent="0.25"/>
    <row r="34" spans="3:21" x14ac:dyDescent="0.25">
      <c r="C34" t="s">
        <v>329</v>
      </c>
      <c r="E34"/>
      <c r="G34" s="10"/>
      <c r="H34" s="10"/>
      <c r="J34" s="149"/>
      <c r="K34" s="149"/>
    </row>
    <row r="35" spans="3:21" ht="31.5" customHeight="1" x14ac:dyDescent="0.25">
      <c r="C35" s="962" t="s">
        <v>334</v>
      </c>
      <c r="D35" s="962"/>
      <c r="E35" s="962"/>
      <c r="F35" s="962"/>
      <c r="G35" s="962"/>
      <c r="H35" s="962"/>
      <c r="I35" s="962"/>
      <c r="J35" s="962"/>
      <c r="K35" s="962"/>
    </row>
    <row r="36" spans="3:21" x14ac:dyDescent="0.25">
      <c r="C36" s="963" t="s">
        <v>429</v>
      </c>
      <c r="D36" s="963"/>
      <c r="E36" s="963"/>
      <c r="F36" s="963"/>
      <c r="G36" s="963"/>
      <c r="H36" s="963"/>
      <c r="I36" s="963"/>
      <c r="J36" s="963"/>
      <c r="K36" s="963"/>
    </row>
    <row r="37" spans="3:21" ht="40.5" customHeight="1" x14ac:dyDescent="0.25">
      <c r="C37" s="943" t="s">
        <v>330</v>
      </c>
      <c r="D37" s="943"/>
      <c r="E37" s="943"/>
      <c r="F37" s="943"/>
      <c r="G37" s="943"/>
      <c r="H37" s="943"/>
      <c r="I37" s="943"/>
      <c r="J37" s="943"/>
      <c r="K37" s="943"/>
    </row>
    <row r="38" spans="3:21" ht="26.25" customHeight="1" x14ac:dyDescent="0.25">
      <c r="C38" s="943"/>
      <c r="D38" s="943"/>
      <c r="E38" s="943"/>
      <c r="F38" s="943"/>
      <c r="G38" s="943"/>
      <c r="H38" s="943"/>
      <c r="I38" s="943"/>
      <c r="J38" s="943"/>
      <c r="K38" s="943"/>
      <c r="L38" s="553"/>
      <c r="M38" s="553"/>
      <c r="N38" s="553"/>
      <c r="O38" s="553"/>
      <c r="P38" s="553"/>
      <c r="Q38" s="553"/>
      <c r="R38" s="553"/>
      <c r="S38" s="553"/>
      <c r="T38" s="553"/>
      <c r="U38" s="553"/>
    </row>
  </sheetData>
  <mergeCells count="19">
    <mergeCell ref="B3:L3"/>
    <mergeCell ref="B5:L5"/>
    <mergeCell ref="C35:K35"/>
    <mergeCell ref="C36:K36"/>
    <mergeCell ref="C38:K38"/>
    <mergeCell ref="B4:L4"/>
    <mergeCell ref="B6:B10"/>
    <mergeCell ref="C6:C9"/>
    <mergeCell ref="D6:D9"/>
    <mergeCell ref="E6:F6"/>
    <mergeCell ref="G6:I6"/>
    <mergeCell ref="J6:J9"/>
    <mergeCell ref="K6:K8"/>
    <mergeCell ref="E7:E9"/>
    <mergeCell ref="C37:K37"/>
    <mergeCell ref="F7:F8"/>
    <mergeCell ref="G7:G9"/>
    <mergeCell ref="H7:H9"/>
    <mergeCell ref="I7:I9"/>
  </mergeCells>
  <pageMargins left="0.70866141732283472" right="0.70866141732283472" top="0.74803149606299213" bottom="0.74803149606299213" header="0.31496062992125984" footer="0.31496062992125984"/>
  <pageSetup paperSize="5" scale="8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pageSetUpPr fitToPage="1"/>
  </sheetPr>
  <dimension ref="B1:T36"/>
  <sheetViews>
    <sheetView zoomScaleNormal="100" workbookViewId="0">
      <selection activeCell="B2" sqref="B2:K2"/>
    </sheetView>
  </sheetViews>
  <sheetFormatPr baseColWidth="10" defaultRowHeight="15" x14ac:dyDescent="0.25"/>
  <cols>
    <col min="1" max="1" width="3.5703125" customWidth="1"/>
    <col min="2" max="2" width="21.7109375" customWidth="1"/>
    <col min="3" max="3" width="10.42578125" bestFit="1" customWidth="1"/>
    <col min="4" max="4" width="11.85546875" bestFit="1" customWidth="1"/>
    <col min="5" max="5" width="15.7109375" customWidth="1"/>
    <col min="6" max="6" width="13" bestFit="1" customWidth="1"/>
    <col min="7" max="7" width="11.140625" style="10" customWidth="1"/>
    <col min="8" max="8" width="12.140625" style="10" customWidth="1"/>
    <col min="9" max="9" width="13.28515625" customWidth="1"/>
    <col min="10" max="10" width="13.140625" style="149" customWidth="1"/>
    <col min="11" max="11" width="13.85546875" style="149" customWidth="1"/>
    <col min="12" max="14" width="0" hidden="1" customWidth="1"/>
  </cols>
  <sheetData>
    <row r="1" spans="2:14" ht="18.75" x14ac:dyDescent="0.3">
      <c r="B1" s="970"/>
      <c r="C1" s="970"/>
      <c r="D1" s="970"/>
      <c r="E1" s="970"/>
      <c r="F1" s="970"/>
      <c r="G1" s="970"/>
      <c r="H1" s="970"/>
      <c r="I1" s="970"/>
      <c r="J1" s="970"/>
      <c r="K1" s="970"/>
    </row>
    <row r="2" spans="2:14" x14ac:dyDescent="0.25">
      <c r="B2" s="921" t="s">
        <v>422</v>
      </c>
      <c r="C2" s="921"/>
      <c r="D2" s="921"/>
      <c r="E2" s="921"/>
      <c r="F2" s="921"/>
      <c r="G2" s="921"/>
      <c r="H2" s="921"/>
      <c r="I2" s="921"/>
      <c r="J2" s="921"/>
      <c r="K2" s="921"/>
    </row>
    <row r="3" spans="2:14" x14ac:dyDescent="0.25">
      <c r="B3" s="977" t="s">
        <v>278</v>
      </c>
      <c r="C3" s="977"/>
      <c r="D3" s="977"/>
      <c r="E3" s="977"/>
      <c r="F3" s="977"/>
      <c r="G3" s="977"/>
      <c r="H3" s="977"/>
      <c r="I3" s="977"/>
      <c r="J3" s="977"/>
      <c r="K3" s="977"/>
    </row>
    <row r="4" spans="2:14" ht="15.75" thickBot="1" x14ac:dyDescent="0.3"/>
    <row r="5" spans="2:14" ht="15" customHeight="1" x14ac:dyDescent="0.25">
      <c r="B5" s="965" t="s">
        <v>84</v>
      </c>
      <c r="C5" s="973" t="s">
        <v>244</v>
      </c>
      <c r="D5" s="973" t="s">
        <v>268</v>
      </c>
      <c r="E5" s="971" t="s">
        <v>264</v>
      </c>
      <c r="F5" s="971" t="s">
        <v>267</v>
      </c>
      <c r="G5" s="973" t="s">
        <v>413</v>
      </c>
      <c r="H5" s="973" t="s">
        <v>265</v>
      </c>
      <c r="I5" s="973" t="s">
        <v>246</v>
      </c>
      <c r="J5" s="973" t="s">
        <v>423</v>
      </c>
      <c r="K5" s="975" t="s">
        <v>266</v>
      </c>
    </row>
    <row r="6" spans="2:14" x14ac:dyDescent="0.25">
      <c r="B6" s="842"/>
      <c r="C6" s="974"/>
      <c r="D6" s="974"/>
      <c r="E6" s="972"/>
      <c r="F6" s="972"/>
      <c r="G6" s="974"/>
      <c r="H6" s="974"/>
      <c r="I6" s="974"/>
      <c r="J6" s="974"/>
      <c r="K6" s="976"/>
    </row>
    <row r="7" spans="2:14" x14ac:dyDescent="0.25">
      <c r="B7" s="842"/>
      <c r="C7" s="974"/>
      <c r="D7" s="974"/>
      <c r="E7" s="972"/>
      <c r="F7" s="972"/>
      <c r="G7" s="974"/>
      <c r="H7" s="974"/>
      <c r="I7" s="974"/>
      <c r="J7" s="974"/>
      <c r="K7" s="976"/>
    </row>
    <row r="8" spans="2:14" ht="15.75" thickBot="1" x14ac:dyDescent="0.3">
      <c r="B8" s="843"/>
      <c r="C8" s="434" t="s">
        <v>71</v>
      </c>
      <c r="D8" s="434" t="s">
        <v>98</v>
      </c>
      <c r="E8" s="434" t="s">
        <v>72</v>
      </c>
      <c r="F8" s="434" t="s">
        <v>99</v>
      </c>
      <c r="G8" s="434" t="s">
        <v>74</v>
      </c>
      <c r="H8" s="434" t="s">
        <v>134</v>
      </c>
      <c r="I8" s="435" t="s">
        <v>135</v>
      </c>
      <c r="J8" s="434" t="s">
        <v>76</v>
      </c>
      <c r="K8" s="436" t="s">
        <v>136</v>
      </c>
      <c r="L8" s="158" t="s">
        <v>107</v>
      </c>
      <c r="M8" s="158" t="s">
        <v>137</v>
      </c>
      <c r="N8" s="159"/>
    </row>
    <row r="9" spans="2:14" x14ac:dyDescent="0.25">
      <c r="B9" s="437" t="s">
        <v>46</v>
      </c>
      <c r="C9" s="438">
        <v>3.65</v>
      </c>
      <c r="D9" s="439">
        <f>$D$29*C9/100</f>
        <v>1608902.6625000001</v>
      </c>
      <c r="E9" s="440">
        <f>'Predial y Agua'!G9</f>
        <v>11337932</v>
      </c>
      <c r="F9" s="441">
        <f>E9/$E$29*100</f>
        <v>1.4250484748769019</v>
      </c>
      <c r="G9" s="172">
        <f>'CENSO 2020'!C10</f>
        <v>37232</v>
      </c>
      <c r="H9" s="172">
        <f>F9*G9</f>
        <v>53057.404816616814</v>
      </c>
      <c r="I9" s="442">
        <f>H9/H$29*100</f>
        <v>0.21686411651904153</v>
      </c>
      <c r="J9" s="443">
        <f>$J$29*I9/100</f>
        <v>67921.117184478775</v>
      </c>
      <c r="K9" s="444">
        <f t="shared" ref="K9:K28" si="0">D9+J9</f>
        <v>1676823.7796844789</v>
      </c>
      <c r="L9" s="160">
        <f>I9</f>
        <v>0.21686411651904153</v>
      </c>
      <c r="M9" s="159">
        <v>0.307836</v>
      </c>
      <c r="N9" s="160">
        <f>L9-M9</f>
        <v>-9.0971883480958471E-2</v>
      </c>
    </row>
    <row r="10" spans="2:14" x14ac:dyDescent="0.25">
      <c r="B10" s="445" t="s">
        <v>47</v>
      </c>
      <c r="C10" s="438">
        <v>1.49</v>
      </c>
      <c r="D10" s="439">
        <f t="shared" ref="D10:D28" si="1">$D$29*C10/100</f>
        <v>656784.92249999999</v>
      </c>
      <c r="E10" s="440">
        <f>'Predial y Agua'!G10</f>
        <v>4476557</v>
      </c>
      <c r="F10" s="441">
        <f t="shared" ref="F10:F28" si="2">E10/$E$29*100</f>
        <v>0.56265205379160155</v>
      </c>
      <c r="G10" s="172">
        <f>'CENSO 2020'!C11</f>
        <v>15393</v>
      </c>
      <c r="H10" s="172">
        <f t="shared" ref="H10:H28" si="3">F10*G10</f>
        <v>8660.9030640141227</v>
      </c>
      <c r="I10" s="442">
        <f t="shared" ref="I10:I29" si="4">H10/H$29*100</f>
        <v>3.5400131192361767E-2</v>
      </c>
      <c r="J10" s="443">
        <f t="shared" ref="J10:J28" si="5">$J$29*I10/100</f>
        <v>11087.202888409658</v>
      </c>
      <c r="K10" s="444">
        <f t="shared" si="0"/>
        <v>667872.12538840959</v>
      </c>
      <c r="L10" s="160">
        <f t="shared" ref="L10:L28" si="6">I10</f>
        <v>3.5400131192361767E-2</v>
      </c>
      <c r="M10" s="159">
        <v>5.7023999999999998E-2</v>
      </c>
      <c r="N10" s="160">
        <f t="shared" ref="N10:N28" si="7">L10-M10</f>
        <v>-2.1623868807638232E-2</v>
      </c>
    </row>
    <row r="11" spans="2:14" x14ac:dyDescent="0.25">
      <c r="B11" s="445" t="s">
        <v>48</v>
      </c>
      <c r="C11" s="438">
        <v>1.0900000000000001</v>
      </c>
      <c r="D11" s="439">
        <f t="shared" si="1"/>
        <v>480466.82250000001</v>
      </c>
      <c r="E11" s="440">
        <f>'Predial y Agua'!G11</f>
        <v>3050109</v>
      </c>
      <c r="F11" s="441">
        <f t="shared" si="2"/>
        <v>0.38336384260007139</v>
      </c>
      <c r="G11" s="172">
        <f>'CENSO 2020'!C12</f>
        <v>11536</v>
      </c>
      <c r="H11" s="172">
        <f t="shared" si="3"/>
        <v>4422.4852882344239</v>
      </c>
      <c r="I11" s="442">
        <f t="shared" si="4"/>
        <v>1.8076239653377235E-2</v>
      </c>
      <c r="J11" s="443">
        <f t="shared" si="5"/>
        <v>5661.4179028735498</v>
      </c>
      <c r="K11" s="444">
        <f t="shared" si="0"/>
        <v>486128.24040287355</v>
      </c>
      <c r="L11" s="160">
        <f t="shared" si="6"/>
        <v>1.8076239653377235E-2</v>
      </c>
      <c r="M11" s="159">
        <v>3.8598E-2</v>
      </c>
      <c r="N11" s="160">
        <f t="shared" si="7"/>
        <v>-2.0521760346622765E-2</v>
      </c>
    </row>
    <row r="12" spans="2:14" x14ac:dyDescent="0.25">
      <c r="B12" s="445" t="s">
        <v>49</v>
      </c>
      <c r="C12" s="438">
        <v>8.82</v>
      </c>
      <c r="D12" s="439">
        <f t="shared" si="1"/>
        <v>3887814.105</v>
      </c>
      <c r="E12" s="440">
        <f>'Predial y Agua'!G12</f>
        <v>323649261</v>
      </c>
      <c r="F12" s="441">
        <f t="shared" si="2"/>
        <v>40.679013225964525</v>
      </c>
      <c r="G12" s="172">
        <f>'CENSO 2020'!C13</f>
        <v>187632</v>
      </c>
      <c r="H12" s="172">
        <f t="shared" si="3"/>
        <v>7632684.6096141757</v>
      </c>
      <c r="I12" s="442">
        <f t="shared" si="4"/>
        <v>31.1974437923142</v>
      </c>
      <c r="J12" s="443">
        <f t="shared" si="5"/>
        <v>9770935.2274879869</v>
      </c>
      <c r="K12" s="444">
        <f t="shared" si="0"/>
        <v>13658749.332487987</v>
      </c>
      <c r="L12" s="160">
        <f t="shared" si="6"/>
        <v>31.1974437923142</v>
      </c>
      <c r="M12" s="159">
        <v>27.722322999999999</v>
      </c>
      <c r="N12" s="160">
        <f t="shared" si="7"/>
        <v>3.4751207923142005</v>
      </c>
    </row>
    <row r="13" spans="2:14" x14ac:dyDescent="0.25">
      <c r="B13" s="445" t="s">
        <v>50</v>
      </c>
      <c r="C13" s="438">
        <v>6.63</v>
      </c>
      <c r="D13" s="439">
        <f t="shared" si="1"/>
        <v>2922472.5074999998</v>
      </c>
      <c r="E13" s="440">
        <f>'Predial y Agua'!G13</f>
        <v>60010155</v>
      </c>
      <c r="F13" s="441">
        <f t="shared" si="2"/>
        <v>7.5425906470312665</v>
      </c>
      <c r="G13" s="172">
        <f>'CENSO 2020'!C14</f>
        <v>77436</v>
      </c>
      <c r="H13" s="172">
        <f t="shared" si="3"/>
        <v>584068.04934351321</v>
      </c>
      <c r="I13" s="442">
        <f t="shared" si="4"/>
        <v>2.3872898032926746</v>
      </c>
      <c r="J13" s="443">
        <f t="shared" si="5"/>
        <v>747691.19523061276</v>
      </c>
      <c r="K13" s="444">
        <f t="shared" si="0"/>
        <v>3670163.7027306128</v>
      </c>
      <c r="L13" s="160">
        <f t="shared" si="6"/>
        <v>2.3872898032926746</v>
      </c>
      <c r="M13" s="159">
        <v>1.5035639999999999</v>
      </c>
      <c r="N13" s="160">
        <f t="shared" si="7"/>
        <v>0.88372580329267469</v>
      </c>
    </row>
    <row r="14" spans="2:14" x14ac:dyDescent="0.25">
      <c r="B14" s="445" t="s">
        <v>51</v>
      </c>
      <c r="C14" s="438">
        <v>3.22</v>
      </c>
      <c r="D14" s="439">
        <f t="shared" si="1"/>
        <v>1419360.7050000001</v>
      </c>
      <c r="E14" s="440">
        <f>'Predial y Agua'!G14</f>
        <v>94277</v>
      </c>
      <c r="F14" s="441">
        <f t="shared" si="2"/>
        <v>1.1849541438947569E-2</v>
      </c>
      <c r="G14" s="172">
        <f>'CENSO 2020'!C15</f>
        <v>47550</v>
      </c>
      <c r="H14" s="172">
        <f t="shared" si="3"/>
        <v>563.44569542195688</v>
      </c>
      <c r="I14" s="442">
        <f t="shared" si="4"/>
        <v>2.3029990510555678E-3</v>
      </c>
      <c r="J14" s="443">
        <f t="shared" si="5"/>
        <v>721.29161307677259</v>
      </c>
      <c r="K14" s="444">
        <f t="shared" si="0"/>
        <v>1420081.9966130769</v>
      </c>
      <c r="L14" s="160">
        <f t="shared" si="6"/>
        <v>2.3029990510555678E-3</v>
      </c>
      <c r="M14" s="159">
        <v>1.0524E-2</v>
      </c>
      <c r="N14" s="160">
        <f t="shared" si="7"/>
        <v>-8.2210009489444326E-3</v>
      </c>
    </row>
    <row r="15" spans="2:14" x14ac:dyDescent="0.25">
      <c r="B15" s="445" t="s">
        <v>52</v>
      </c>
      <c r="C15" s="438">
        <v>1.1100000000000001</v>
      </c>
      <c r="D15" s="439">
        <f t="shared" si="1"/>
        <v>489282.7275000001</v>
      </c>
      <c r="E15" s="440">
        <f>'Predial y Agua'!G15</f>
        <v>99583</v>
      </c>
      <c r="F15" s="441">
        <f t="shared" si="2"/>
        <v>1.2516444998405931E-2</v>
      </c>
      <c r="G15" s="172">
        <f>'CENSO 2020'!C16</f>
        <v>12230</v>
      </c>
      <c r="H15" s="172">
        <f t="shared" si="3"/>
        <v>153.07612233050455</v>
      </c>
      <c r="I15" s="442">
        <f t="shared" si="4"/>
        <v>6.2567549513784101E-4</v>
      </c>
      <c r="J15" s="443">
        <f t="shared" si="5"/>
        <v>195.9594759466936</v>
      </c>
      <c r="K15" s="444">
        <f t="shared" si="0"/>
        <v>489478.68697594677</v>
      </c>
      <c r="L15" s="160">
        <f t="shared" si="6"/>
        <v>6.2567549513784101E-4</v>
      </c>
      <c r="M15" s="159">
        <v>6.78E-4</v>
      </c>
      <c r="N15" s="160">
        <f t="shared" si="7"/>
        <v>-5.2324504862158992E-5</v>
      </c>
    </row>
    <row r="16" spans="2:14" x14ac:dyDescent="0.25">
      <c r="B16" s="445" t="s">
        <v>53</v>
      </c>
      <c r="C16" s="438">
        <v>2.71</v>
      </c>
      <c r="D16" s="439">
        <f t="shared" si="1"/>
        <v>1194555.1274999999</v>
      </c>
      <c r="E16" s="440">
        <f>'Predial y Agua'!G16</f>
        <v>11883725</v>
      </c>
      <c r="F16" s="441">
        <f t="shared" si="2"/>
        <v>1.4936484172869013</v>
      </c>
      <c r="G16" s="172">
        <f>'CENSO 2020'!C17</f>
        <v>29299</v>
      </c>
      <c r="H16" s="172">
        <f t="shared" si="3"/>
        <v>43762.404978088925</v>
      </c>
      <c r="I16" s="442">
        <f t="shared" si="4"/>
        <v>0.17887221067679274</v>
      </c>
      <c r="J16" s="443">
        <f t="shared" si="5"/>
        <v>56022.179129660057</v>
      </c>
      <c r="K16" s="444">
        <f t="shared" si="0"/>
        <v>1250577.3066296601</v>
      </c>
      <c r="L16" s="160">
        <f t="shared" si="6"/>
        <v>0.17887221067679274</v>
      </c>
      <c r="M16" s="159">
        <v>0.364313</v>
      </c>
      <c r="N16" s="160">
        <f t="shared" si="7"/>
        <v>-0.18544078932320726</v>
      </c>
    </row>
    <row r="17" spans="2:14" x14ac:dyDescent="0.25">
      <c r="B17" s="445" t="s">
        <v>54</v>
      </c>
      <c r="C17" s="438">
        <v>1.69</v>
      </c>
      <c r="D17" s="439">
        <f t="shared" si="1"/>
        <v>744943.97250000003</v>
      </c>
      <c r="E17" s="440">
        <f>'Predial y Agua'!G17</f>
        <v>4290832</v>
      </c>
      <c r="F17" s="441">
        <f t="shared" si="2"/>
        <v>0.53930854388198901</v>
      </c>
      <c r="G17" s="172">
        <f>'CENSO 2020'!C18</f>
        <v>19321</v>
      </c>
      <c r="H17" s="172">
        <f t="shared" si="3"/>
        <v>10419.98037634391</v>
      </c>
      <c r="I17" s="442">
        <f t="shared" si="4"/>
        <v>4.2590093621651476E-2</v>
      </c>
      <c r="J17" s="443">
        <f t="shared" si="5"/>
        <v>13339.075113978644</v>
      </c>
      <c r="K17" s="444">
        <f t="shared" si="0"/>
        <v>758283.04761397862</v>
      </c>
      <c r="L17" s="160">
        <f t="shared" si="6"/>
        <v>4.2590093621651476E-2</v>
      </c>
      <c r="M17" s="159">
        <v>6.7258999999999999E-2</v>
      </c>
      <c r="N17" s="160">
        <f t="shared" si="7"/>
        <v>-2.4668906378348524E-2</v>
      </c>
    </row>
    <row r="18" spans="2:14" x14ac:dyDescent="0.25">
      <c r="B18" s="445" t="s">
        <v>55</v>
      </c>
      <c r="C18" s="438">
        <v>1.27</v>
      </c>
      <c r="D18" s="439">
        <f t="shared" si="1"/>
        <v>559809.96750000003</v>
      </c>
      <c r="E18" s="440">
        <f>'Predial y Agua'!G18</f>
        <v>561068</v>
      </c>
      <c r="F18" s="441">
        <f t="shared" si="2"/>
        <v>7.0519835337011519E-2</v>
      </c>
      <c r="G18" s="172">
        <f>'CENSO 2020'!C19</f>
        <v>13719</v>
      </c>
      <c r="H18" s="172">
        <f t="shared" si="3"/>
        <v>967.46162098846105</v>
      </c>
      <c r="I18" s="442">
        <f t="shared" si="4"/>
        <v>3.9543530337924418E-3</v>
      </c>
      <c r="J18" s="443">
        <f t="shared" si="5"/>
        <v>1238.4901665990133</v>
      </c>
      <c r="K18" s="444">
        <f t="shared" si="0"/>
        <v>561048.45766659908</v>
      </c>
      <c r="L18" s="160">
        <f t="shared" si="6"/>
        <v>3.9543530337924418E-3</v>
      </c>
      <c r="M18" s="159">
        <v>7.6290000000000004E-3</v>
      </c>
      <c r="N18" s="160">
        <f t="shared" si="7"/>
        <v>-3.6746469662075586E-3</v>
      </c>
    </row>
    <row r="19" spans="2:14" x14ac:dyDescent="0.25">
      <c r="B19" s="445" t="s">
        <v>56</v>
      </c>
      <c r="C19" s="438">
        <v>3.39</v>
      </c>
      <c r="D19" s="439">
        <f t="shared" si="1"/>
        <v>1494295.8975</v>
      </c>
      <c r="E19" s="440">
        <f>'Predial y Agua'!G19</f>
        <v>2522032</v>
      </c>
      <c r="F19" s="441">
        <f t="shared" si="2"/>
        <v>0.31699059891969217</v>
      </c>
      <c r="G19" s="172">
        <f>'CENSO 2020'!C20</f>
        <v>33567</v>
      </c>
      <c r="H19" s="172">
        <f t="shared" si="3"/>
        <v>10640.423433937307</v>
      </c>
      <c r="I19" s="442">
        <f t="shared" si="4"/>
        <v>4.3491121274492422E-2</v>
      </c>
      <c r="J19" s="443">
        <f t="shared" si="5"/>
        <v>13621.273966317096</v>
      </c>
      <c r="K19" s="444">
        <f t="shared" si="0"/>
        <v>1507917.171466317</v>
      </c>
      <c r="L19" s="160">
        <f t="shared" si="6"/>
        <v>4.3491121274492422E-2</v>
      </c>
      <c r="M19" s="159">
        <v>5.3082999999999998E-2</v>
      </c>
      <c r="N19" s="160">
        <f t="shared" si="7"/>
        <v>-9.5918787255075758E-3</v>
      </c>
    </row>
    <row r="20" spans="2:14" x14ac:dyDescent="0.25">
      <c r="B20" s="445" t="s">
        <v>57</v>
      </c>
      <c r="C20" s="438">
        <v>2.21</v>
      </c>
      <c r="D20" s="439">
        <f t="shared" si="1"/>
        <v>974157.50249999994</v>
      </c>
      <c r="E20" s="440">
        <f>'Predial y Agua'!G20</f>
        <v>3423553</v>
      </c>
      <c r="F20" s="441">
        <f t="shared" si="2"/>
        <v>0.43030148543052144</v>
      </c>
      <c r="G20" s="172">
        <f>'CENSO 2020'!C21</f>
        <v>24096</v>
      </c>
      <c r="H20" s="172">
        <f t="shared" si="3"/>
        <v>10368.544592933844</v>
      </c>
      <c r="I20" s="442">
        <f t="shared" si="4"/>
        <v>4.2379857637338966E-2</v>
      </c>
      <c r="J20" s="443">
        <f t="shared" si="5"/>
        <v>13273.229905669918</v>
      </c>
      <c r="K20" s="444">
        <f t="shared" si="0"/>
        <v>987430.73240566987</v>
      </c>
      <c r="L20" s="160">
        <f t="shared" si="6"/>
        <v>4.2379857637338966E-2</v>
      </c>
      <c r="M20" s="159">
        <v>4.0325E-2</v>
      </c>
      <c r="N20" s="160">
        <f t="shared" si="7"/>
        <v>2.0548576373389665E-3</v>
      </c>
    </row>
    <row r="21" spans="2:14" x14ac:dyDescent="0.25">
      <c r="B21" s="445" t="s">
        <v>58</v>
      </c>
      <c r="C21" s="438">
        <v>3.95</v>
      </c>
      <c r="D21" s="439">
        <f t="shared" si="1"/>
        <v>1741141.2375</v>
      </c>
      <c r="E21" s="440">
        <f>'Predial y Agua'!G21</f>
        <v>5209406</v>
      </c>
      <c r="F21" s="441">
        <f t="shared" si="2"/>
        <v>0.65476279759964895</v>
      </c>
      <c r="G21" s="172">
        <f>'CENSO 2020'!C22</f>
        <v>41518</v>
      </c>
      <c r="H21" s="172">
        <f t="shared" si="3"/>
        <v>27184.441830742224</v>
      </c>
      <c r="I21" s="442">
        <f t="shared" si="4"/>
        <v>0.11111229395903013</v>
      </c>
      <c r="J21" s="443">
        <f t="shared" si="5"/>
        <v>34799.999464018714</v>
      </c>
      <c r="K21" s="444">
        <f t="shared" si="0"/>
        <v>1775941.2369640188</v>
      </c>
      <c r="L21" s="160">
        <f t="shared" si="6"/>
        <v>0.11111229395903013</v>
      </c>
      <c r="M21" s="159">
        <v>0.15141299999999999</v>
      </c>
      <c r="N21" s="160">
        <f t="shared" si="7"/>
        <v>-4.0300706040969858E-2</v>
      </c>
    </row>
    <row r="22" spans="2:14" x14ac:dyDescent="0.25">
      <c r="B22" s="445" t="s">
        <v>59</v>
      </c>
      <c r="C22" s="438">
        <v>0.75</v>
      </c>
      <c r="D22" s="439">
        <f t="shared" si="1"/>
        <v>330596.4375</v>
      </c>
      <c r="E22" s="440">
        <f>'Predial y Agua'!G22</f>
        <v>2088284</v>
      </c>
      <c r="F22" s="441">
        <f t="shared" si="2"/>
        <v>0.26247343248396943</v>
      </c>
      <c r="G22" s="172">
        <f>'CENSO 2020'!C23</f>
        <v>7683</v>
      </c>
      <c r="H22" s="172">
        <f t="shared" si="3"/>
        <v>2016.5833817743371</v>
      </c>
      <c r="I22" s="442">
        <f t="shared" si="4"/>
        <v>8.2424795367772846E-3</v>
      </c>
      <c r="J22" s="443">
        <f t="shared" si="5"/>
        <v>2581.5170692794727</v>
      </c>
      <c r="K22" s="444">
        <f t="shared" si="0"/>
        <v>333177.95456927945</v>
      </c>
      <c r="L22" s="160">
        <f t="shared" si="6"/>
        <v>8.2424795367772846E-3</v>
      </c>
      <c r="M22" s="159">
        <v>7.8689999999999993E-3</v>
      </c>
      <c r="N22" s="160">
        <f t="shared" si="7"/>
        <v>3.7347953677728529E-4</v>
      </c>
    </row>
    <row r="23" spans="2:14" x14ac:dyDescent="0.25">
      <c r="B23" s="445" t="s">
        <v>60</v>
      </c>
      <c r="C23" s="438">
        <v>2.2799999999999998</v>
      </c>
      <c r="D23" s="439">
        <f t="shared" si="1"/>
        <v>1005013.1699999998</v>
      </c>
      <c r="E23" s="440">
        <f>'Predial y Agua'!G23</f>
        <v>2820618</v>
      </c>
      <c r="F23" s="441">
        <f t="shared" si="2"/>
        <v>0.35451944667778373</v>
      </c>
      <c r="G23" s="172">
        <f>'CENSO 2020'!C24</f>
        <v>24911</v>
      </c>
      <c r="H23" s="172">
        <f t="shared" si="3"/>
        <v>8831.4339361902712</v>
      </c>
      <c r="I23" s="442">
        <f t="shared" si="4"/>
        <v>3.6097150337220503E-2</v>
      </c>
      <c r="J23" s="443">
        <f t="shared" si="5"/>
        <v>11305.506957232488</v>
      </c>
      <c r="K23" s="444">
        <f t="shared" si="0"/>
        <v>1016318.6769572323</v>
      </c>
      <c r="L23" s="160">
        <f t="shared" si="6"/>
        <v>3.6097150337220503E-2</v>
      </c>
      <c r="M23" s="159">
        <v>8.7175000000000002E-2</v>
      </c>
      <c r="N23" s="160">
        <f t="shared" si="7"/>
        <v>-5.10778496627795E-2</v>
      </c>
    </row>
    <row r="24" spans="2:14" x14ac:dyDescent="0.25">
      <c r="B24" s="445" t="s">
        <v>61</v>
      </c>
      <c r="C24" s="438">
        <v>8.8800000000000008</v>
      </c>
      <c r="D24" s="439">
        <f t="shared" si="1"/>
        <v>3914261.8200000008</v>
      </c>
      <c r="E24" s="440">
        <f>'Predial y Agua'!G24</f>
        <v>17843967</v>
      </c>
      <c r="F24" s="441">
        <f t="shared" si="2"/>
        <v>2.2427827190270473</v>
      </c>
      <c r="G24" s="172">
        <f>'CENSO 2020'!C25</f>
        <v>93981</v>
      </c>
      <c r="H24" s="172">
        <f t="shared" si="3"/>
        <v>210778.96271688092</v>
      </c>
      <c r="I24" s="442">
        <f t="shared" si="4"/>
        <v>0.86152712686166921</v>
      </c>
      <c r="J24" s="443">
        <f t="shared" si="5"/>
        <v>269827.41949399828</v>
      </c>
      <c r="K24" s="444">
        <f t="shared" si="0"/>
        <v>4184089.2394939992</v>
      </c>
      <c r="L24" s="160">
        <f t="shared" si="6"/>
        <v>0.86152712686166921</v>
      </c>
      <c r="M24" s="159">
        <v>1.2821199999999999</v>
      </c>
      <c r="N24" s="160">
        <f t="shared" si="7"/>
        <v>-0.42059287313833071</v>
      </c>
    </row>
    <row r="25" spans="2:14" x14ac:dyDescent="0.25">
      <c r="B25" s="445" t="s">
        <v>62</v>
      </c>
      <c r="C25" s="438">
        <v>3.92</v>
      </c>
      <c r="D25" s="439">
        <f t="shared" si="1"/>
        <v>1727917.38</v>
      </c>
      <c r="E25" s="440">
        <f>'Predial y Agua'!G25</f>
        <v>4883574</v>
      </c>
      <c r="F25" s="441">
        <f t="shared" si="2"/>
        <v>0.61380943902719587</v>
      </c>
      <c r="G25" s="172">
        <f>'CENSO 2020'!C26</f>
        <v>37135</v>
      </c>
      <c r="H25" s="172">
        <f t="shared" si="3"/>
        <v>22793.813518274917</v>
      </c>
      <c r="I25" s="442">
        <f t="shared" si="4"/>
        <v>9.3166264875291255E-2</v>
      </c>
      <c r="J25" s="443">
        <f t="shared" si="5"/>
        <v>29179.363076782807</v>
      </c>
      <c r="K25" s="444">
        <f t="shared" si="0"/>
        <v>1757096.7430767827</v>
      </c>
      <c r="L25" s="160">
        <f t="shared" si="6"/>
        <v>9.3166264875291255E-2</v>
      </c>
      <c r="M25" s="159">
        <v>0.39474799999999999</v>
      </c>
      <c r="N25" s="160">
        <f t="shared" si="7"/>
        <v>-0.30158173512470876</v>
      </c>
    </row>
    <row r="26" spans="2:14" x14ac:dyDescent="0.25">
      <c r="B26" s="445" t="s">
        <v>63</v>
      </c>
      <c r="C26" s="438">
        <v>35.42</v>
      </c>
      <c r="D26" s="439">
        <f t="shared" si="1"/>
        <v>15612967.755000001</v>
      </c>
      <c r="E26" s="440">
        <f>'Predial y Agua'!G26</f>
        <v>288565311</v>
      </c>
      <c r="F26" s="441">
        <f t="shared" si="2"/>
        <v>36.269361673974487</v>
      </c>
      <c r="G26" s="172">
        <f>'CENSO 2020'!C27</f>
        <v>425924</v>
      </c>
      <c r="H26" s="172">
        <f t="shared" si="3"/>
        <v>15447991.60162591</v>
      </c>
      <c r="I26" s="442">
        <f t="shared" si="4"/>
        <v>63.141328948508402</v>
      </c>
      <c r="J26" s="443">
        <f t="shared" si="5"/>
        <v>19775653.397775479</v>
      </c>
      <c r="K26" s="444">
        <f t="shared" si="0"/>
        <v>35388621.152775481</v>
      </c>
      <c r="L26" s="160">
        <f t="shared" si="6"/>
        <v>63.141328948508402</v>
      </c>
      <c r="M26" s="159">
        <v>66.428610000000006</v>
      </c>
      <c r="N26" s="160">
        <f t="shared" si="7"/>
        <v>-3.287281051491604</v>
      </c>
    </row>
    <row r="27" spans="2:14" x14ac:dyDescent="0.25">
      <c r="B27" s="445" t="s">
        <v>64</v>
      </c>
      <c r="C27" s="438">
        <v>3</v>
      </c>
      <c r="D27" s="439">
        <f t="shared" si="1"/>
        <v>1322385.75</v>
      </c>
      <c r="E27" s="440">
        <f>'Predial y Agua'!G27</f>
        <v>3116609</v>
      </c>
      <c r="F27" s="441">
        <f t="shared" si="2"/>
        <v>0.39172213259328303</v>
      </c>
      <c r="G27" s="172">
        <f>'CENSO 2020'!C28</f>
        <v>30064</v>
      </c>
      <c r="H27" s="172">
        <f t="shared" si="3"/>
        <v>11776.734194284461</v>
      </c>
      <c r="I27" s="442">
        <f t="shared" si="4"/>
        <v>4.8135619624637679E-2</v>
      </c>
      <c r="J27" s="443">
        <f t="shared" si="5"/>
        <v>15075.915341602598</v>
      </c>
      <c r="K27" s="444">
        <f t="shared" si="0"/>
        <v>1337461.6653416026</v>
      </c>
      <c r="L27" s="160">
        <f t="shared" si="6"/>
        <v>4.8135619624637679E-2</v>
      </c>
      <c r="M27" s="159">
        <v>4.3832000000000003E-2</v>
      </c>
      <c r="N27" s="160">
        <f t="shared" si="7"/>
        <v>4.3036196246376765E-3</v>
      </c>
    </row>
    <row r="28" spans="2:14" ht="15.75" thickBot="1" x14ac:dyDescent="0.3">
      <c r="B28" s="445" t="s">
        <v>65</v>
      </c>
      <c r="C28" s="446">
        <v>4.5199999999999996</v>
      </c>
      <c r="D28" s="447">
        <f t="shared" si="1"/>
        <v>1992394.5299999998</v>
      </c>
      <c r="E28" s="448">
        <f>'Predial y Agua'!G28</f>
        <v>45690433</v>
      </c>
      <c r="F28" s="449">
        <f t="shared" si="2"/>
        <v>5.7427652470587471</v>
      </c>
      <c r="G28" s="172">
        <f>'CENSO 2020'!C29</f>
        <v>65229</v>
      </c>
      <c r="H28" s="192">
        <f t="shared" si="3"/>
        <v>374594.83430039504</v>
      </c>
      <c r="I28" s="450">
        <f t="shared" si="4"/>
        <v>1.5310997225350518</v>
      </c>
      <c r="J28" s="451">
        <f t="shared" si="5"/>
        <v>479535.32075600483</v>
      </c>
      <c r="K28" s="452">
        <f t="shared" si="0"/>
        <v>2471929.8507560045</v>
      </c>
      <c r="L28" s="160">
        <f t="shared" si="6"/>
        <v>1.5310997225350518</v>
      </c>
      <c r="M28" s="159">
        <v>1.431076</v>
      </c>
      <c r="N28" s="160">
        <f t="shared" si="7"/>
        <v>0.10002372253505176</v>
      </c>
    </row>
    <row r="29" spans="2:14" ht="15.75" thickBot="1" x14ac:dyDescent="0.3">
      <c r="B29" s="453" t="s">
        <v>66</v>
      </c>
      <c r="C29" s="454">
        <f t="shared" ref="C29:H29" si="8">SUM(C9:C28)</f>
        <v>100.00000000000001</v>
      </c>
      <c r="D29" s="455">
        <f>Datos!K35</f>
        <v>44079525</v>
      </c>
      <c r="E29" s="456">
        <f t="shared" si="8"/>
        <v>795617286</v>
      </c>
      <c r="F29" s="457">
        <f t="shared" si="8"/>
        <v>100</v>
      </c>
      <c r="G29" s="136">
        <f t="shared" si="8"/>
        <v>1235456</v>
      </c>
      <c r="H29" s="136">
        <f t="shared" si="8"/>
        <v>24465737.194451053</v>
      </c>
      <c r="I29" s="377">
        <f t="shared" si="4"/>
        <v>100</v>
      </c>
      <c r="J29" s="458">
        <f>Datos!K36</f>
        <v>31319666.100000009</v>
      </c>
      <c r="K29" s="459">
        <f>SUM(K9:K28)</f>
        <v>75399191.100000009</v>
      </c>
      <c r="L29" s="161">
        <f t="shared" ref="L29:N29" si="9">SUM(L9:L28)</f>
        <v>99.999999999999972</v>
      </c>
      <c r="M29" s="161">
        <f t="shared" si="9"/>
        <v>99.999999000000003</v>
      </c>
      <c r="N29" s="161">
        <f t="shared" si="9"/>
        <v>9.9999999028654862E-7</v>
      </c>
    </row>
    <row r="30" spans="2:14" x14ac:dyDescent="0.25">
      <c r="B30" s="967" t="s">
        <v>297</v>
      </c>
      <c r="C30" s="967"/>
      <c r="D30" s="967"/>
      <c r="E30" s="967"/>
      <c r="F30" s="967"/>
      <c r="G30" s="967"/>
      <c r="H30" s="103"/>
      <c r="I30" s="5"/>
    </row>
    <row r="31" spans="2:14" x14ac:dyDescent="0.25">
      <c r="B31" s="969" t="s">
        <v>296</v>
      </c>
      <c r="C31" s="969"/>
      <c r="D31" s="969"/>
      <c r="E31" s="969"/>
      <c r="F31" s="969"/>
      <c r="G31" s="969"/>
      <c r="H31" s="969"/>
      <c r="I31" s="969"/>
      <c r="J31" s="969"/>
      <c r="K31" s="969"/>
    </row>
    <row r="32" spans="2:14" ht="41.25" customHeight="1" x14ac:dyDescent="0.25">
      <c r="B32" s="968" t="s">
        <v>299</v>
      </c>
      <c r="C32" s="968"/>
      <c r="D32" s="968"/>
      <c r="E32" s="968"/>
      <c r="F32" s="968"/>
      <c r="G32" s="968"/>
      <c r="H32" s="968"/>
      <c r="I32" s="968"/>
      <c r="J32" s="968"/>
      <c r="K32" s="968"/>
    </row>
    <row r="33" spans="2:20" ht="15" customHeight="1" x14ac:dyDescent="0.25">
      <c r="B33" s="964" t="s">
        <v>430</v>
      </c>
      <c r="C33" s="904"/>
      <c r="D33" s="904"/>
      <c r="E33" s="904"/>
      <c r="F33" s="904"/>
      <c r="G33" s="904"/>
      <c r="H33" s="904"/>
      <c r="I33" s="904"/>
      <c r="J33" s="904"/>
      <c r="K33" s="904"/>
      <c r="L33" s="552"/>
      <c r="M33" s="552"/>
      <c r="N33" s="552"/>
      <c r="O33" s="552"/>
      <c r="P33" s="552"/>
      <c r="Q33" s="552"/>
      <c r="R33" s="552"/>
      <c r="S33" s="552"/>
      <c r="T33" s="552"/>
    </row>
    <row r="34" spans="2:20" ht="23.25" customHeight="1" x14ac:dyDescent="0.25">
      <c r="B34" s="904" t="s">
        <v>300</v>
      </c>
      <c r="C34" s="904"/>
      <c r="D34" s="904"/>
      <c r="E34" s="904"/>
      <c r="F34" s="904"/>
      <c r="G34" s="904"/>
      <c r="H34" s="904"/>
      <c r="I34" s="904"/>
      <c r="J34" s="904"/>
      <c r="K34" s="904"/>
      <c r="L34" s="552"/>
      <c r="M34" s="552"/>
      <c r="N34" s="552"/>
      <c r="O34" s="552"/>
      <c r="P34" s="552"/>
      <c r="Q34" s="552"/>
      <c r="R34" s="552"/>
      <c r="S34" s="552"/>
      <c r="T34" s="552"/>
    </row>
    <row r="35" spans="2:20" ht="24.75" customHeight="1" x14ac:dyDescent="0.25">
      <c r="B35" s="968"/>
      <c r="C35" s="968"/>
      <c r="D35" s="968"/>
      <c r="E35" s="968"/>
      <c r="F35" s="968"/>
      <c r="G35" s="968"/>
      <c r="H35" s="968"/>
      <c r="I35" s="968"/>
      <c r="J35" s="968"/>
      <c r="K35" s="968"/>
    </row>
    <row r="36" spans="2:20" x14ac:dyDescent="0.25">
      <c r="F36" s="966"/>
      <c r="G36" s="966"/>
      <c r="H36" s="966"/>
      <c r="I36" s="966"/>
      <c r="J36" s="966"/>
      <c r="K36" s="966"/>
    </row>
  </sheetData>
  <mergeCells count="20">
    <mergeCell ref="B1:K1"/>
    <mergeCell ref="E5:E7"/>
    <mergeCell ref="G5:G7"/>
    <mergeCell ref="H5:H7"/>
    <mergeCell ref="I5:I7"/>
    <mergeCell ref="J5:J7"/>
    <mergeCell ref="K5:K7"/>
    <mergeCell ref="F5:F7"/>
    <mergeCell ref="D5:D7"/>
    <mergeCell ref="C5:C7"/>
    <mergeCell ref="B3:K3"/>
    <mergeCell ref="B33:K33"/>
    <mergeCell ref="B34:K34"/>
    <mergeCell ref="B2:K2"/>
    <mergeCell ref="B5:B8"/>
    <mergeCell ref="F36:K36"/>
    <mergeCell ref="B30:G30"/>
    <mergeCell ref="B35:K35"/>
    <mergeCell ref="B31:K31"/>
    <mergeCell ref="B32:K32"/>
  </mergeCells>
  <pageMargins left="0.70866141732283472" right="0.36" top="0.74803149606299213" bottom="0.74803149606299213" header="0.31496062992125984" footer="0.31496062992125984"/>
  <pageSetup scale="92" orientation="landscape" r:id="rId1"/>
  <ignoredErrors>
    <ignoredError sqref="C8:G8 J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pageSetUpPr fitToPage="1"/>
  </sheetPr>
  <dimension ref="B2:Q31"/>
  <sheetViews>
    <sheetView workbookViewId="0">
      <selection activeCell="B2" sqref="B2:G3"/>
    </sheetView>
  </sheetViews>
  <sheetFormatPr baseColWidth="10" defaultRowHeight="15" x14ac:dyDescent="0.25"/>
  <cols>
    <col min="1" max="1" width="3.5703125" customWidth="1"/>
    <col min="2" max="2" width="21.7109375" customWidth="1"/>
    <col min="3" max="3" width="14.85546875" customWidth="1"/>
    <col min="4" max="4" width="15.140625" customWidth="1"/>
    <col min="5" max="5" width="13.140625" style="10" customWidth="1"/>
    <col min="6" max="6" width="14.28515625" style="149" customWidth="1"/>
    <col min="7" max="7" width="15.42578125" style="149" customWidth="1"/>
    <col min="8" max="8" width="18.42578125" customWidth="1"/>
    <col min="9" max="9" width="19" customWidth="1"/>
    <col min="10" max="10" width="12.85546875" customWidth="1"/>
    <col min="12" max="12" width="12.7109375" bestFit="1" customWidth="1"/>
    <col min="13" max="13" width="11.5703125" bestFit="1" customWidth="1"/>
    <col min="14" max="14" width="12.7109375" bestFit="1" customWidth="1"/>
  </cols>
  <sheetData>
    <row r="2" spans="2:14" ht="15" customHeight="1" x14ac:dyDescent="0.25">
      <c r="B2" s="978" t="s">
        <v>402</v>
      </c>
      <c r="C2" s="978"/>
      <c r="D2" s="978"/>
      <c r="E2" s="978"/>
      <c r="F2" s="978"/>
      <c r="G2" s="978"/>
    </row>
    <row r="3" spans="2:14" ht="15" customHeight="1" x14ac:dyDescent="0.25">
      <c r="B3" s="978"/>
      <c r="C3" s="978"/>
      <c r="D3" s="978"/>
      <c r="E3" s="978"/>
      <c r="F3" s="978"/>
      <c r="G3" s="978"/>
    </row>
    <row r="4" spans="2:14" x14ac:dyDescent="0.25">
      <c r="B4" s="983" t="s">
        <v>278</v>
      </c>
      <c r="C4" s="983"/>
      <c r="D4" s="983"/>
      <c r="E4" s="983"/>
      <c r="F4" s="983"/>
      <c r="G4" s="983"/>
    </row>
    <row r="5" spans="2:14" ht="15.75" thickBot="1" x14ac:dyDescent="0.3"/>
    <row r="6" spans="2:14" ht="30" customHeight="1" x14ac:dyDescent="0.25">
      <c r="B6" s="979" t="s">
        <v>84</v>
      </c>
      <c r="C6" s="981" t="s">
        <v>244</v>
      </c>
      <c r="D6" s="981" t="s">
        <v>199</v>
      </c>
      <c r="E6" s="984" t="s">
        <v>403</v>
      </c>
      <c r="F6" s="986" t="s">
        <v>404</v>
      </c>
      <c r="G6" s="988" t="s">
        <v>245</v>
      </c>
    </row>
    <row r="7" spans="2:14" x14ac:dyDescent="0.25">
      <c r="B7" s="980"/>
      <c r="C7" s="982"/>
      <c r="D7" s="982"/>
      <c r="E7" s="985"/>
      <c r="F7" s="987"/>
      <c r="G7" s="989"/>
    </row>
    <row r="8" spans="2:14" x14ac:dyDescent="0.25">
      <c r="B8" s="980"/>
      <c r="C8" s="982"/>
      <c r="D8" s="982"/>
      <c r="E8" s="985"/>
      <c r="F8" s="987"/>
      <c r="G8" s="989"/>
    </row>
    <row r="9" spans="2:14" ht="15.75" thickBot="1" x14ac:dyDescent="0.3">
      <c r="B9" s="980"/>
      <c r="C9" s="140" t="s">
        <v>71</v>
      </c>
      <c r="D9" s="359" t="s">
        <v>98</v>
      </c>
      <c r="E9" s="567" t="s">
        <v>72</v>
      </c>
      <c r="F9" s="555" t="s">
        <v>99</v>
      </c>
      <c r="G9" s="556" t="s">
        <v>301</v>
      </c>
    </row>
    <row r="10" spans="2:14" x14ac:dyDescent="0.25">
      <c r="B10" s="403" t="s">
        <v>46</v>
      </c>
      <c r="C10" s="404">
        <v>3.94</v>
      </c>
      <c r="D10" s="405">
        <f>$D$30*C10/100</f>
        <v>812034</v>
      </c>
      <c r="E10" s="406">
        <v>0.05</v>
      </c>
      <c r="F10" s="407">
        <f>$F$30*E10</f>
        <v>198839.73375000004</v>
      </c>
      <c r="G10" s="484">
        <f t="shared" ref="G10:G29" si="0">D10+F10</f>
        <v>1010873.73375</v>
      </c>
      <c r="H10" s="151"/>
      <c r="I10" s="217"/>
      <c r="J10" s="124"/>
      <c r="L10" s="124"/>
      <c r="M10" s="124"/>
      <c r="N10" s="124"/>
    </row>
    <row r="11" spans="2:14" x14ac:dyDescent="0.25">
      <c r="B11" s="408" t="s">
        <v>47</v>
      </c>
      <c r="C11" s="409">
        <v>5.78</v>
      </c>
      <c r="D11" s="405">
        <f t="shared" ref="D11:D29" si="1">$D$30*C11/100</f>
        <v>1191258</v>
      </c>
      <c r="E11" s="410">
        <v>0.05</v>
      </c>
      <c r="F11" s="407">
        <f t="shared" ref="F11:F28" si="2">$F$30*E11</f>
        <v>198839.73375000004</v>
      </c>
      <c r="G11" s="485">
        <f t="shared" si="0"/>
        <v>1390097.7337500001</v>
      </c>
      <c r="H11" s="151"/>
      <c r="I11" s="217"/>
      <c r="J11" s="124"/>
      <c r="L11" s="124"/>
      <c r="M11" s="124"/>
      <c r="N11" s="124"/>
    </row>
    <row r="12" spans="2:14" x14ac:dyDescent="0.25">
      <c r="B12" s="408" t="s">
        <v>48</v>
      </c>
      <c r="C12" s="409">
        <v>6.12</v>
      </c>
      <c r="D12" s="405">
        <f t="shared" si="1"/>
        <v>1261332</v>
      </c>
      <c r="E12" s="410">
        <v>0.05</v>
      </c>
      <c r="F12" s="407">
        <f t="shared" si="2"/>
        <v>198839.73375000004</v>
      </c>
      <c r="G12" s="485">
        <f t="shared" si="0"/>
        <v>1460171.7337500001</v>
      </c>
      <c r="H12" s="151"/>
      <c r="I12" s="217"/>
      <c r="J12" s="124"/>
      <c r="L12" s="124"/>
      <c r="M12" s="124"/>
      <c r="N12" s="124"/>
    </row>
    <row r="13" spans="2:14" x14ac:dyDescent="0.25">
      <c r="B13" s="408" t="s">
        <v>49</v>
      </c>
      <c r="C13" s="409">
        <v>5.08</v>
      </c>
      <c r="D13" s="405">
        <f t="shared" si="1"/>
        <v>1046988</v>
      </c>
      <c r="E13" s="410">
        <v>0.05</v>
      </c>
      <c r="F13" s="407">
        <f t="shared" si="2"/>
        <v>198839.73375000004</v>
      </c>
      <c r="G13" s="485">
        <f t="shared" si="0"/>
        <v>1245827.7337500001</v>
      </c>
      <c r="H13" s="151"/>
      <c r="I13" s="217"/>
      <c r="J13" s="124"/>
      <c r="L13" s="124"/>
      <c r="M13" s="124"/>
      <c r="N13" s="124"/>
    </row>
    <row r="14" spans="2:14" x14ac:dyDescent="0.25">
      <c r="B14" s="408" t="s">
        <v>50</v>
      </c>
      <c r="C14" s="409">
        <v>3.07</v>
      </c>
      <c r="D14" s="405">
        <f t="shared" si="1"/>
        <v>632727</v>
      </c>
      <c r="E14" s="410">
        <v>0.05</v>
      </c>
      <c r="F14" s="407">
        <f t="shared" si="2"/>
        <v>198839.73375000004</v>
      </c>
      <c r="G14" s="485">
        <f t="shared" si="0"/>
        <v>831566.73375000001</v>
      </c>
      <c r="H14" s="151"/>
      <c r="I14" s="217"/>
      <c r="J14" s="124"/>
      <c r="L14" s="124"/>
      <c r="M14" s="124"/>
      <c r="N14" s="124"/>
    </row>
    <row r="15" spans="2:14" x14ac:dyDescent="0.25">
      <c r="B15" s="408" t="s">
        <v>51</v>
      </c>
      <c r="C15" s="409">
        <v>9.51</v>
      </c>
      <c r="D15" s="405">
        <f t="shared" si="1"/>
        <v>1960011</v>
      </c>
      <c r="E15" s="410">
        <v>0.05</v>
      </c>
      <c r="F15" s="407">
        <f t="shared" si="2"/>
        <v>198839.73375000004</v>
      </c>
      <c r="G15" s="485">
        <f t="shared" si="0"/>
        <v>2158850.7337500001</v>
      </c>
      <c r="H15" s="151"/>
      <c r="I15" s="217"/>
      <c r="J15" s="124"/>
      <c r="L15" s="124"/>
      <c r="M15" s="124"/>
      <c r="N15" s="124"/>
    </row>
    <row r="16" spans="2:14" x14ac:dyDescent="0.25">
      <c r="B16" s="408" t="s">
        <v>52</v>
      </c>
      <c r="C16" s="409">
        <v>9.33</v>
      </c>
      <c r="D16" s="405">
        <f t="shared" si="1"/>
        <v>1922913</v>
      </c>
      <c r="E16" s="410">
        <v>0.05</v>
      </c>
      <c r="F16" s="407">
        <f t="shared" si="2"/>
        <v>198839.73375000004</v>
      </c>
      <c r="G16" s="485">
        <f t="shared" si="0"/>
        <v>2121752.7337500001</v>
      </c>
      <c r="H16" s="151"/>
      <c r="I16" s="217"/>
      <c r="J16" s="124"/>
      <c r="L16" s="124"/>
      <c r="M16" s="124"/>
      <c r="N16" s="124"/>
    </row>
    <row r="17" spans="2:17" x14ac:dyDescent="0.25">
      <c r="B17" s="408" t="s">
        <v>53</v>
      </c>
      <c r="C17" s="409">
        <v>4.5199999999999996</v>
      </c>
      <c r="D17" s="405">
        <f t="shared" si="1"/>
        <v>931571.99999999988</v>
      </c>
      <c r="E17" s="410">
        <v>0.05</v>
      </c>
      <c r="F17" s="407">
        <f t="shared" si="2"/>
        <v>198839.73375000004</v>
      </c>
      <c r="G17" s="485">
        <f t="shared" si="0"/>
        <v>1130411.7337499999</v>
      </c>
      <c r="H17" s="151"/>
      <c r="I17" s="217"/>
      <c r="J17" s="124"/>
      <c r="L17" s="124"/>
      <c r="M17" s="124"/>
      <c r="N17" s="124"/>
    </row>
    <row r="18" spans="2:17" x14ac:dyDescent="0.25">
      <c r="B18" s="408" t="s">
        <v>54</v>
      </c>
      <c r="C18" s="409">
        <v>5.08</v>
      </c>
      <c r="D18" s="405">
        <f t="shared" si="1"/>
        <v>1046988</v>
      </c>
      <c r="E18" s="410">
        <v>0.05</v>
      </c>
      <c r="F18" s="407">
        <f t="shared" si="2"/>
        <v>198839.73375000004</v>
      </c>
      <c r="G18" s="485">
        <f t="shared" si="0"/>
        <v>1245827.7337500001</v>
      </c>
      <c r="H18" s="151"/>
      <c r="I18" s="217"/>
      <c r="J18" s="124"/>
      <c r="L18" s="124"/>
      <c r="M18" s="124"/>
      <c r="N18" s="124"/>
    </row>
    <row r="19" spans="2:17" x14ac:dyDescent="0.25">
      <c r="B19" s="408" t="s">
        <v>55</v>
      </c>
      <c r="C19" s="409">
        <v>8.92</v>
      </c>
      <c r="D19" s="405">
        <f t="shared" si="1"/>
        <v>1838412</v>
      </c>
      <c r="E19" s="410">
        <v>0.05</v>
      </c>
      <c r="F19" s="407">
        <f t="shared" si="2"/>
        <v>198839.73375000004</v>
      </c>
      <c r="G19" s="485">
        <f t="shared" si="0"/>
        <v>2037251.7337500001</v>
      </c>
      <c r="H19" s="151"/>
      <c r="I19" s="217"/>
      <c r="J19" s="124"/>
      <c r="L19" s="124"/>
      <c r="M19" s="124"/>
      <c r="N19" s="124"/>
    </row>
    <row r="20" spans="2:17" x14ac:dyDescent="0.25">
      <c r="B20" s="408" t="s">
        <v>56</v>
      </c>
      <c r="C20" s="409">
        <v>5.0199999999999996</v>
      </c>
      <c r="D20" s="405">
        <f t="shared" si="1"/>
        <v>1034621.9999999999</v>
      </c>
      <c r="E20" s="410">
        <v>0.05</v>
      </c>
      <c r="F20" s="407">
        <f t="shared" si="2"/>
        <v>198839.73375000004</v>
      </c>
      <c r="G20" s="485">
        <f t="shared" si="0"/>
        <v>1233461.7337499999</v>
      </c>
      <c r="H20" s="151"/>
      <c r="I20" s="217"/>
      <c r="J20" s="124"/>
      <c r="L20" s="124"/>
      <c r="M20" s="124"/>
      <c r="N20" s="124"/>
    </row>
    <row r="21" spans="2:17" x14ac:dyDescent="0.25">
      <c r="B21" s="408" t="s">
        <v>57</v>
      </c>
      <c r="C21" s="409">
        <v>4.29</v>
      </c>
      <c r="D21" s="405">
        <f t="shared" si="1"/>
        <v>884169</v>
      </c>
      <c r="E21" s="410">
        <v>0.05</v>
      </c>
      <c r="F21" s="407">
        <f t="shared" si="2"/>
        <v>198839.73375000004</v>
      </c>
      <c r="G21" s="485">
        <f t="shared" si="0"/>
        <v>1083008.7337500001</v>
      </c>
      <c r="H21" s="151"/>
      <c r="I21" s="217"/>
      <c r="J21" s="124"/>
      <c r="L21" s="124"/>
      <c r="M21" s="124"/>
      <c r="N21" s="124"/>
    </row>
    <row r="22" spans="2:17" x14ac:dyDescent="0.25">
      <c r="B22" s="408" t="s">
        <v>58</v>
      </c>
      <c r="C22" s="409">
        <v>3.04</v>
      </c>
      <c r="D22" s="405">
        <f t="shared" si="1"/>
        <v>626544</v>
      </c>
      <c r="E22" s="410">
        <v>0.05</v>
      </c>
      <c r="F22" s="407">
        <f t="shared" si="2"/>
        <v>198839.73375000004</v>
      </c>
      <c r="G22" s="485">
        <f t="shared" si="0"/>
        <v>825383.73375000001</v>
      </c>
      <c r="H22" s="151"/>
      <c r="I22" s="217"/>
      <c r="J22" s="124"/>
      <c r="L22" s="124"/>
      <c r="M22" s="124"/>
      <c r="N22" s="124"/>
    </row>
    <row r="23" spans="2:17" x14ac:dyDescent="0.25">
      <c r="B23" s="408" t="s">
        <v>59</v>
      </c>
      <c r="C23" s="409">
        <v>6.7</v>
      </c>
      <c r="D23" s="405">
        <f t="shared" si="1"/>
        <v>1380870</v>
      </c>
      <c r="E23" s="410">
        <v>0.05</v>
      </c>
      <c r="F23" s="407">
        <f t="shared" si="2"/>
        <v>198839.73375000004</v>
      </c>
      <c r="G23" s="485">
        <f t="shared" si="0"/>
        <v>1579709.7337500001</v>
      </c>
      <c r="H23" s="151"/>
      <c r="I23" s="217"/>
      <c r="J23" s="124"/>
      <c r="L23" s="124"/>
      <c r="M23" s="124"/>
      <c r="N23" s="124"/>
    </row>
    <row r="24" spans="2:17" x14ac:dyDescent="0.25">
      <c r="B24" s="408" t="s">
        <v>60</v>
      </c>
      <c r="C24" s="409">
        <v>5.08</v>
      </c>
      <c r="D24" s="405">
        <f t="shared" si="1"/>
        <v>1046988</v>
      </c>
      <c r="E24" s="410">
        <v>0.05</v>
      </c>
      <c r="F24" s="407">
        <f t="shared" si="2"/>
        <v>198839.73375000004</v>
      </c>
      <c r="G24" s="485">
        <f t="shared" si="0"/>
        <v>1245827.7337500001</v>
      </c>
      <c r="H24" s="151"/>
      <c r="I24" s="217"/>
      <c r="J24" s="124"/>
      <c r="L24" s="124"/>
      <c r="M24" s="124"/>
      <c r="N24" s="124"/>
    </row>
    <row r="25" spans="2:17" x14ac:dyDescent="0.25">
      <c r="B25" s="408" t="s">
        <v>61</v>
      </c>
      <c r="C25" s="409">
        <v>1.7</v>
      </c>
      <c r="D25" s="405">
        <f t="shared" si="1"/>
        <v>350370</v>
      </c>
      <c r="E25" s="410">
        <v>0.05</v>
      </c>
      <c r="F25" s="407">
        <f t="shared" si="2"/>
        <v>198839.73375000004</v>
      </c>
      <c r="G25" s="485">
        <f t="shared" si="0"/>
        <v>549209.73375000001</v>
      </c>
      <c r="H25" s="151"/>
      <c r="I25" s="217"/>
      <c r="J25" s="124"/>
      <c r="L25" s="124"/>
      <c r="M25" s="124"/>
      <c r="N25" s="124"/>
    </row>
    <row r="26" spans="2:17" x14ac:dyDescent="0.25">
      <c r="B26" s="408" t="s">
        <v>62</v>
      </c>
      <c r="C26" s="409">
        <v>4.08</v>
      </c>
      <c r="D26" s="405">
        <f t="shared" si="1"/>
        <v>840888</v>
      </c>
      <c r="E26" s="410">
        <v>0.05</v>
      </c>
      <c r="F26" s="407">
        <f t="shared" si="2"/>
        <v>198839.73375000004</v>
      </c>
      <c r="G26" s="485">
        <f t="shared" si="0"/>
        <v>1039727.73375</v>
      </c>
      <c r="H26" s="151"/>
      <c r="I26" s="217"/>
      <c r="J26" s="124"/>
      <c r="L26" s="124"/>
      <c r="M26" s="124"/>
      <c r="N26" s="124"/>
    </row>
    <row r="27" spans="2:17" x14ac:dyDescent="0.25">
      <c r="B27" s="408" t="s">
        <v>63</v>
      </c>
      <c r="C27" s="409">
        <v>0.37</v>
      </c>
      <c r="D27" s="405">
        <f t="shared" si="1"/>
        <v>76257</v>
      </c>
      <c r="E27" s="410">
        <v>0.05</v>
      </c>
      <c r="F27" s="407">
        <f t="shared" si="2"/>
        <v>198839.73375000004</v>
      </c>
      <c r="G27" s="485">
        <f t="shared" si="0"/>
        <v>275096.73375000001</v>
      </c>
      <c r="H27" s="151"/>
      <c r="I27" s="217"/>
      <c r="J27" s="124"/>
      <c r="L27" s="124"/>
      <c r="M27" s="124"/>
      <c r="N27" s="124"/>
    </row>
    <row r="28" spans="2:17" x14ac:dyDescent="0.25">
      <c r="B28" s="408" t="s">
        <v>64</v>
      </c>
      <c r="C28" s="409">
        <v>3.77</v>
      </c>
      <c r="D28" s="405">
        <f t="shared" si="1"/>
        <v>776997</v>
      </c>
      <c r="E28" s="410">
        <v>0.05</v>
      </c>
      <c r="F28" s="407">
        <f t="shared" si="2"/>
        <v>198839.73375000004</v>
      </c>
      <c r="G28" s="485">
        <f t="shared" si="0"/>
        <v>975836.73375000001</v>
      </c>
      <c r="H28" s="151"/>
      <c r="I28" s="217"/>
      <c r="J28" s="124"/>
      <c r="L28" s="124"/>
      <c r="M28" s="124"/>
      <c r="N28" s="124"/>
    </row>
    <row r="29" spans="2:17" ht="15.75" thickBot="1" x14ac:dyDescent="0.3">
      <c r="B29" s="411" t="s">
        <v>65</v>
      </c>
      <c r="C29" s="412">
        <v>4.5999999999999996</v>
      </c>
      <c r="D29" s="413">
        <f t="shared" si="1"/>
        <v>948060</v>
      </c>
      <c r="E29" s="414">
        <v>0.05</v>
      </c>
      <c r="F29" s="407">
        <f>$F$30*E29-5</f>
        <v>198834.73375000004</v>
      </c>
      <c r="G29" s="485">
        <f t="shared" si="0"/>
        <v>1146894.7337500001</v>
      </c>
      <c r="H29" s="151"/>
      <c r="I29" s="217"/>
      <c r="J29" s="124"/>
      <c r="L29" s="124"/>
      <c r="M29" s="124"/>
      <c r="N29" s="124"/>
    </row>
    <row r="30" spans="2:17" ht="15.75" thickBot="1" x14ac:dyDescent="0.3">
      <c r="B30" s="331" t="s">
        <v>66</v>
      </c>
      <c r="C30" s="415">
        <f t="shared" ref="C30" si="3">SUM(C10:C29)</f>
        <v>100</v>
      </c>
      <c r="D30" s="333">
        <f>Datos!K50</f>
        <v>20610000</v>
      </c>
      <c r="E30" s="352">
        <v>100</v>
      </c>
      <c r="F30" s="416">
        <f>Datos!K51</f>
        <v>3976794.6750000007</v>
      </c>
      <c r="G30" s="417">
        <f>SUM(G10:G29)+5</f>
        <v>24586794.675000008</v>
      </c>
      <c r="H30" s="544"/>
      <c r="I30" s="157"/>
      <c r="J30" s="654"/>
      <c r="K30" s="157"/>
      <c r="L30" s="654"/>
      <c r="M30" s="654"/>
      <c r="N30" s="654"/>
      <c r="O30" s="157"/>
      <c r="P30" s="157"/>
      <c r="Q30" s="157"/>
    </row>
    <row r="31" spans="2:17" x14ac:dyDescent="0.25">
      <c r="B31" s="967" t="s">
        <v>297</v>
      </c>
      <c r="C31" s="967"/>
      <c r="D31" s="967"/>
      <c r="E31" s="967"/>
      <c r="F31" s="967"/>
      <c r="G31" s="967"/>
      <c r="H31" s="543"/>
      <c r="I31" s="543"/>
      <c r="J31" s="655"/>
      <c r="K31" s="543"/>
      <c r="L31" s="543"/>
      <c r="M31" s="543"/>
      <c r="N31" s="543"/>
      <c r="O31" s="543"/>
      <c r="P31" s="543"/>
      <c r="Q31" s="543"/>
    </row>
  </sheetData>
  <mergeCells count="9">
    <mergeCell ref="B31:G31"/>
    <mergeCell ref="B2:G3"/>
    <mergeCell ref="B6:B9"/>
    <mergeCell ref="D6:D8"/>
    <mergeCell ref="C6:C8"/>
    <mergeCell ref="B4:G4"/>
    <mergeCell ref="E6:E8"/>
    <mergeCell ref="F6:F8"/>
    <mergeCell ref="G6:G8"/>
  </mergeCells>
  <printOptions horizontalCentered="1"/>
  <pageMargins left="0.70866141732283472" right="0.70866141732283472" top="0.74803149606299213" bottom="0.74803149606299213" header="0.31496062992125984" footer="0.31496062992125984"/>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pageSetUpPr fitToPage="1"/>
  </sheetPr>
  <dimension ref="B1:T34"/>
  <sheetViews>
    <sheetView workbookViewId="0">
      <selection activeCell="L31" sqref="L31"/>
    </sheetView>
  </sheetViews>
  <sheetFormatPr baseColWidth="10" defaultColWidth="11.42578125" defaultRowHeight="14.25" x14ac:dyDescent="0.2"/>
  <cols>
    <col min="1" max="1" width="3.5703125" style="9" customWidth="1"/>
    <col min="2" max="2" width="20.42578125" style="9" customWidth="1"/>
    <col min="3" max="3" width="13.28515625" style="9" bestFit="1" customWidth="1"/>
    <col min="4" max="4" width="12.140625" style="9" bestFit="1" customWidth="1"/>
    <col min="5" max="5" width="10.140625" style="9" bestFit="1" customWidth="1"/>
    <col min="6" max="6" width="12.42578125" style="9" bestFit="1" customWidth="1"/>
    <col min="7" max="7" width="13.7109375" style="9" customWidth="1"/>
    <col min="8" max="8" width="13.28515625" style="77" bestFit="1" customWidth="1"/>
    <col min="9" max="16384" width="11.42578125" style="9"/>
  </cols>
  <sheetData>
    <row r="1" spans="2:8" ht="18" x14ac:dyDescent="0.25">
      <c r="B1" s="990"/>
      <c r="C1" s="990"/>
      <c r="D1" s="990"/>
      <c r="E1" s="990"/>
      <c r="F1" s="990"/>
      <c r="G1" s="990"/>
      <c r="H1" s="990"/>
    </row>
    <row r="2" spans="2:8" ht="15" customHeight="1" x14ac:dyDescent="0.2">
      <c r="B2" s="978" t="s">
        <v>470</v>
      </c>
      <c r="C2" s="978"/>
      <c r="D2" s="978"/>
      <c r="E2" s="978"/>
      <c r="F2" s="978"/>
      <c r="G2" s="978"/>
      <c r="H2" s="978"/>
    </row>
    <row r="3" spans="2:8" ht="15" customHeight="1" x14ac:dyDescent="0.2">
      <c r="B3" s="978"/>
      <c r="C3" s="978"/>
      <c r="D3" s="978"/>
      <c r="E3" s="978"/>
      <c r="F3" s="978"/>
      <c r="G3" s="978"/>
      <c r="H3" s="978"/>
    </row>
    <row r="4" spans="2:8" ht="15" thickBot="1" x14ac:dyDescent="0.25"/>
    <row r="5" spans="2:8" ht="30" customHeight="1" x14ac:dyDescent="0.25">
      <c r="B5" s="965" t="s">
        <v>84</v>
      </c>
      <c r="C5" s="418" t="s">
        <v>85</v>
      </c>
      <c r="D5" s="418" t="s">
        <v>21</v>
      </c>
      <c r="E5" s="992" t="s">
        <v>22</v>
      </c>
      <c r="F5" s="992"/>
      <c r="G5" s="992" t="s">
        <v>405</v>
      </c>
      <c r="H5" s="991" t="s">
        <v>406</v>
      </c>
    </row>
    <row r="6" spans="2:8" ht="15" x14ac:dyDescent="0.25">
      <c r="B6" s="842"/>
      <c r="C6" s="419" t="s">
        <v>90</v>
      </c>
      <c r="D6" s="419" t="s">
        <v>31</v>
      </c>
      <c r="E6" s="995">
        <v>2020</v>
      </c>
      <c r="F6" s="995"/>
      <c r="G6" s="993"/>
      <c r="H6" s="874"/>
    </row>
    <row r="7" spans="2:8" ht="15" x14ac:dyDescent="0.25">
      <c r="B7" s="842"/>
      <c r="C7" s="420">
        <v>2014</v>
      </c>
      <c r="D7" s="420" t="s">
        <v>37</v>
      </c>
      <c r="E7" s="419" t="s">
        <v>39</v>
      </c>
      <c r="F7" s="419" t="s">
        <v>38</v>
      </c>
      <c r="G7" s="993"/>
      <c r="H7" s="874"/>
    </row>
    <row r="8" spans="2:8" ht="15.75" thickBot="1" x14ac:dyDescent="0.3">
      <c r="B8" s="843"/>
      <c r="C8" s="421" t="s">
        <v>71</v>
      </c>
      <c r="D8" s="421" t="s">
        <v>98</v>
      </c>
      <c r="E8" s="420" t="s">
        <v>72</v>
      </c>
      <c r="F8" s="421" t="s">
        <v>99</v>
      </c>
      <c r="G8" s="421" t="s">
        <v>74</v>
      </c>
      <c r="H8" s="422" t="s">
        <v>302</v>
      </c>
    </row>
    <row r="9" spans="2:8" x14ac:dyDescent="0.2">
      <c r="B9" s="408" t="s">
        <v>46</v>
      </c>
      <c r="C9" s="409">
        <v>3.65</v>
      </c>
      <c r="D9" s="405">
        <v>1418873.625</v>
      </c>
      <c r="E9" s="423">
        <f>'CENSO 2020'!C10</f>
        <v>37232</v>
      </c>
      <c r="F9" s="424">
        <f>E9/$E$29*100</f>
        <v>3.0136241193535018</v>
      </c>
      <c r="G9" s="425">
        <f>Datos!K$56*'IEPS GyD '!F9/100</f>
        <v>335638.85357212229</v>
      </c>
      <c r="H9" s="426">
        <f>D9+G9</f>
        <v>1754512.4785721223</v>
      </c>
    </row>
    <row r="10" spans="2:8" x14ac:dyDescent="0.2">
      <c r="B10" s="408" t="s">
        <v>47</v>
      </c>
      <c r="C10" s="409">
        <v>1.49</v>
      </c>
      <c r="D10" s="405">
        <v>579211.42500000005</v>
      </c>
      <c r="E10" s="427">
        <f>'CENSO 2020'!C11</f>
        <v>15393</v>
      </c>
      <c r="F10" s="428">
        <f t="shared" ref="F10:F28" si="0">E10/$E$29*100</f>
        <v>1.2459367229589724</v>
      </c>
      <c r="G10" s="425">
        <f>Datos!K$56*'IEPS GyD '!F10/100</f>
        <v>138764.74197023205</v>
      </c>
      <c r="H10" s="426">
        <f t="shared" ref="H10:H28" si="1">D10+G10</f>
        <v>717976.16697023204</v>
      </c>
    </row>
    <row r="11" spans="2:8" x14ac:dyDescent="0.2">
      <c r="B11" s="408" t="s">
        <v>48</v>
      </c>
      <c r="C11" s="409">
        <v>1.0900000000000001</v>
      </c>
      <c r="D11" s="405">
        <v>423718.42499999999</v>
      </c>
      <c r="E11" s="427">
        <f>'CENSO 2020'!C12</f>
        <v>11536</v>
      </c>
      <c r="F11" s="428">
        <f t="shared" si="0"/>
        <v>0.93374430169912959</v>
      </c>
      <c r="G11" s="425">
        <f>Datos!K$56*'IEPS GyD '!F11/100</f>
        <v>103994.67701998288</v>
      </c>
      <c r="H11" s="426">
        <f t="shared" si="1"/>
        <v>527713.10201998288</v>
      </c>
    </row>
    <row r="12" spans="2:8" x14ac:dyDescent="0.2">
      <c r="B12" s="408" t="s">
        <v>49</v>
      </c>
      <c r="C12" s="409">
        <v>8.82</v>
      </c>
      <c r="D12" s="405">
        <v>3428620.65</v>
      </c>
      <c r="E12" s="427">
        <f>'CENSO 2020'!C13</f>
        <v>187632</v>
      </c>
      <c r="F12" s="428">
        <f t="shared" si="0"/>
        <v>15.187266887691669</v>
      </c>
      <c r="G12" s="425">
        <f>Datos!K$56*'IEPS GyD '!F12/100</f>
        <v>1691464.0463430502</v>
      </c>
      <c r="H12" s="426">
        <f t="shared" si="1"/>
        <v>5120084.6963430503</v>
      </c>
    </row>
    <row r="13" spans="2:8" x14ac:dyDescent="0.2">
      <c r="B13" s="408" t="s">
        <v>50</v>
      </c>
      <c r="C13" s="409">
        <v>6.63</v>
      </c>
      <c r="D13" s="405">
        <v>2577296.4750000001</v>
      </c>
      <c r="E13" s="427">
        <f>'CENSO 2020'!C14</f>
        <v>77436</v>
      </c>
      <c r="F13" s="428">
        <f t="shared" si="0"/>
        <v>6.2678071902196431</v>
      </c>
      <c r="G13" s="425">
        <f>Datos!K$56*'IEPS GyD '!F13/100</f>
        <v>698069.67837373388</v>
      </c>
      <c r="H13" s="426">
        <f t="shared" si="1"/>
        <v>3275366.1533737341</v>
      </c>
    </row>
    <row r="14" spans="2:8" x14ac:dyDescent="0.2">
      <c r="B14" s="408" t="s">
        <v>51</v>
      </c>
      <c r="C14" s="409">
        <v>3.22</v>
      </c>
      <c r="D14" s="405">
        <v>1251718.6500000001</v>
      </c>
      <c r="E14" s="427">
        <f>'CENSO 2020'!C15</f>
        <v>47550</v>
      </c>
      <c r="F14" s="428">
        <f t="shared" si="0"/>
        <v>3.8487813406547868</v>
      </c>
      <c r="G14" s="425">
        <f>Datos!K$56*'IEPS GyD '!F14/100</f>
        <v>428653.51008150028</v>
      </c>
      <c r="H14" s="426">
        <f t="shared" si="1"/>
        <v>1680372.1600815004</v>
      </c>
    </row>
    <row r="15" spans="2:8" x14ac:dyDescent="0.2">
      <c r="B15" s="408" t="s">
        <v>52</v>
      </c>
      <c r="C15" s="409">
        <v>1.1100000000000001</v>
      </c>
      <c r="D15" s="405">
        <v>431493.07500000001</v>
      </c>
      <c r="E15" s="427">
        <f>'CENSO 2020'!C16</f>
        <v>12230</v>
      </c>
      <c r="F15" s="428">
        <f t="shared" si="0"/>
        <v>0.98991789266473262</v>
      </c>
      <c r="G15" s="425">
        <f>Datos!K$56*'IEPS GyD '!F15/100</f>
        <v>110250.9448642849</v>
      </c>
      <c r="H15" s="426">
        <f t="shared" si="1"/>
        <v>541744.0198642849</v>
      </c>
    </row>
    <row r="16" spans="2:8" x14ac:dyDescent="0.2">
      <c r="B16" s="408" t="s">
        <v>53</v>
      </c>
      <c r="C16" s="409">
        <v>2.71</v>
      </c>
      <c r="D16" s="405">
        <v>1053465.075</v>
      </c>
      <c r="E16" s="427">
        <f>'CENSO 2020'!C17</f>
        <v>29299</v>
      </c>
      <c r="F16" s="428">
        <f t="shared" si="0"/>
        <v>2.3715130283878989</v>
      </c>
      <c r="G16" s="425">
        <f>Datos!K$56*'IEPS GyD '!F16/100</f>
        <v>264124.48353055469</v>
      </c>
      <c r="H16" s="426">
        <f t="shared" si="1"/>
        <v>1317589.5585305546</v>
      </c>
    </row>
    <row r="17" spans="2:16" x14ac:dyDescent="0.2">
      <c r="B17" s="408" t="s">
        <v>54</v>
      </c>
      <c r="C17" s="409">
        <v>1.69</v>
      </c>
      <c r="D17" s="405">
        <v>656957.92499999993</v>
      </c>
      <c r="E17" s="427">
        <f>'CENSO 2020'!C18</f>
        <v>19321</v>
      </c>
      <c r="F17" s="428">
        <f t="shared" si="0"/>
        <v>1.563876010153336</v>
      </c>
      <c r="G17" s="425">
        <f>Datos!K$56*'IEPS GyD '!F17/100</f>
        <v>174174.85737717486</v>
      </c>
      <c r="H17" s="426">
        <f t="shared" si="1"/>
        <v>831132.78237717482</v>
      </c>
    </row>
    <row r="18" spans="2:16" x14ac:dyDescent="0.2">
      <c r="B18" s="408" t="s">
        <v>55</v>
      </c>
      <c r="C18" s="409">
        <v>1.27</v>
      </c>
      <c r="D18" s="405">
        <v>493690.27500000002</v>
      </c>
      <c r="E18" s="427">
        <f>'CENSO 2020'!C19</f>
        <v>13719</v>
      </c>
      <c r="F18" s="428">
        <f t="shared" si="0"/>
        <v>1.1104401937422297</v>
      </c>
      <c r="G18" s="425">
        <f>Datos!K$56*'IEPS GyD '!F18/100</f>
        <v>123673.97486452371</v>
      </c>
      <c r="H18" s="426">
        <f t="shared" si="1"/>
        <v>617364.24986452376</v>
      </c>
    </row>
    <row r="19" spans="2:16" x14ac:dyDescent="0.2">
      <c r="B19" s="408" t="s">
        <v>56</v>
      </c>
      <c r="C19" s="409">
        <v>3.39</v>
      </c>
      <c r="D19" s="405">
        <v>1317803.175</v>
      </c>
      <c r="E19" s="427">
        <f>'CENSO 2020'!C20</f>
        <v>33567</v>
      </c>
      <c r="F19" s="428">
        <f t="shared" si="0"/>
        <v>2.7169725186489848</v>
      </c>
      <c r="G19" s="425">
        <f>Datos!K$56*'IEPS GyD '!F19/100</f>
        <v>302599.62929349561</v>
      </c>
      <c r="H19" s="426">
        <f t="shared" si="1"/>
        <v>1620402.8042934956</v>
      </c>
    </row>
    <row r="20" spans="2:16" x14ac:dyDescent="0.2">
      <c r="B20" s="408" t="s">
        <v>57</v>
      </c>
      <c r="C20" s="409">
        <v>2.21</v>
      </c>
      <c r="D20" s="405">
        <v>859098.82499999995</v>
      </c>
      <c r="E20" s="427">
        <f>'CENSO 2020'!C21</f>
        <v>24096</v>
      </c>
      <c r="F20" s="428">
        <f t="shared" si="0"/>
        <v>1.9503729796933278</v>
      </c>
      <c r="G20" s="425">
        <f>Datos!K$56*'IEPS GyD '!F20/100</f>
        <v>217220.50428861889</v>
      </c>
      <c r="H20" s="426">
        <f t="shared" si="1"/>
        <v>1076319.3292886189</v>
      </c>
    </row>
    <row r="21" spans="2:16" x14ac:dyDescent="0.2">
      <c r="B21" s="408" t="s">
        <v>58</v>
      </c>
      <c r="C21" s="409">
        <v>3.95</v>
      </c>
      <c r="D21" s="405">
        <v>1535493.375</v>
      </c>
      <c r="E21" s="427">
        <f>'CENSO 2020'!C22</f>
        <v>41518</v>
      </c>
      <c r="F21" s="428">
        <f t="shared" si="0"/>
        <v>3.3605405615416495</v>
      </c>
      <c r="G21" s="425">
        <f>Datos!K$56*'IEPS GyD '!F21/100</f>
        <v>374276.26564802788</v>
      </c>
      <c r="H21" s="426">
        <f t="shared" si="1"/>
        <v>1909769.6406480279</v>
      </c>
    </row>
    <row r="22" spans="2:16" x14ac:dyDescent="0.2">
      <c r="B22" s="408" t="s">
        <v>59</v>
      </c>
      <c r="C22" s="409">
        <v>0.75</v>
      </c>
      <c r="D22" s="405">
        <v>291549.375</v>
      </c>
      <c r="E22" s="427">
        <f>'CENSO 2020'!C23</f>
        <v>7683</v>
      </c>
      <c r="F22" s="428">
        <f t="shared" si="0"/>
        <v>0.62187564753418989</v>
      </c>
      <c r="G22" s="425">
        <f>Datos!K$56*'IEPS GyD '!F22/100</f>
        <v>69260.671250392566</v>
      </c>
      <c r="H22" s="426">
        <f t="shared" si="1"/>
        <v>360810.04625039257</v>
      </c>
    </row>
    <row r="23" spans="2:16" x14ac:dyDescent="0.2">
      <c r="B23" s="408" t="s">
        <v>60</v>
      </c>
      <c r="C23" s="409">
        <v>2.2799999999999998</v>
      </c>
      <c r="D23" s="405">
        <v>886310.09999999986</v>
      </c>
      <c r="E23" s="427">
        <f>'CENSO 2020'!C24</f>
        <v>24911</v>
      </c>
      <c r="F23" s="428">
        <f t="shared" si="0"/>
        <v>2.0163405252797348</v>
      </c>
      <c r="G23" s="425">
        <f>Datos!K$56*'IEPS GyD '!F23/100</f>
        <v>224567.56234784969</v>
      </c>
      <c r="H23" s="426">
        <f t="shared" si="1"/>
        <v>1110877.6623478495</v>
      </c>
    </row>
    <row r="24" spans="2:16" x14ac:dyDescent="0.2">
      <c r="B24" s="408" t="s">
        <v>61</v>
      </c>
      <c r="C24" s="409">
        <v>8.8800000000000008</v>
      </c>
      <c r="D24" s="405">
        <v>3451944.6</v>
      </c>
      <c r="E24" s="427">
        <f>'CENSO 2020'!C25</f>
        <v>93981</v>
      </c>
      <c r="F24" s="428">
        <f t="shared" si="0"/>
        <v>7.6069888365105687</v>
      </c>
      <c r="G24" s="425">
        <f>Datos!K$56*'IEPS GyD '!F24/100</f>
        <v>847219.4643737009</v>
      </c>
      <c r="H24" s="426">
        <f t="shared" si="1"/>
        <v>4299164.0643737009</v>
      </c>
    </row>
    <row r="25" spans="2:16" x14ac:dyDescent="0.2">
      <c r="B25" s="408" t="s">
        <v>62</v>
      </c>
      <c r="C25" s="409">
        <v>3.92</v>
      </c>
      <c r="D25" s="405">
        <v>1523831.4000000001</v>
      </c>
      <c r="E25" s="427">
        <f>'CENSO 2020'!C26</f>
        <v>37135</v>
      </c>
      <c r="F25" s="428">
        <f t="shared" si="0"/>
        <v>3.0057727673021133</v>
      </c>
      <c r="G25" s="425">
        <f>Datos!K$56*'IEPS GyD '!F25/100</f>
        <v>334764.41844114638</v>
      </c>
      <c r="H25" s="426">
        <f t="shared" si="1"/>
        <v>1858595.8184411465</v>
      </c>
    </row>
    <row r="26" spans="2:16" x14ac:dyDescent="0.2">
      <c r="B26" s="408" t="s">
        <v>63</v>
      </c>
      <c r="C26" s="409">
        <v>35.42</v>
      </c>
      <c r="D26" s="405">
        <v>13768905.15</v>
      </c>
      <c r="E26" s="427">
        <f>'CENSO 2020'!C27</f>
        <v>425924</v>
      </c>
      <c r="F26" s="428">
        <f t="shared" si="0"/>
        <v>34.475044032324909</v>
      </c>
      <c r="G26" s="425">
        <f>Datos!K$56*'IEPS GyD '!F26/100</f>
        <v>3839617.6157298195</v>
      </c>
      <c r="H26" s="426">
        <f t="shared" si="1"/>
        <v>17608522.765729818</v>
      </c>
    </row>
    <row r="27" spans="2:16" x14ac:dyDescent="0.2">
      <c r="B27" s="408" t="s">
        <v>64</v>
      </c>
      <c r="C27" s="409">
        <v>3</v>
      </c>
      <c r="D27" s="405">
        <v>1166197.5</v>
      </c>
      <c r="E27" s="427">
        <f>'CENSO 2020'!C28</f>
        <v>30064</v>
      </c>
      <c r="F27" s="428">
        <f t="shared" si="0"/>
        <v>2.4334334852880231</v>
      </c>
      <c r="G27" s="425">
        <f>Datos!K$56*'IEPS GyD '!F27/100</f>
        <v>271020.80183155043</v>
      </c>
      <c r="H27" s="426">
        <f t="shared" si="1"/>
        <v>1437218.3018315504</v>
      </c>
    </row>
    <row r="28" spans="2:16" ht="15" thickBot="1" x14ac:dyDescent="0.25">
      <c r="B28" s="408" t="s">
        <v>65</v>
      </c>
      <c r="C28" s="409">
        <v>4.5199999999999996</v>
      </c>
      <c r="D28" s="405">
        <v>1757070.9</v>
      </c>
      <c r="E28" s="820">
        <f>'CENSO 2020'!C29</f>
        <v>65229</v>
      </c>
      <c r="F28" s="429">
        <f t="shared" si="0"/>
        <v>5.2797509583506006</v>
      </c>
      <c r="G28" s="425">
        <f>Datos!K$56*'IEPS GyD '!F28/100</f>
        <v>588026.07379823714</v>
      </c>
      <c r="H28" s="426">
        <f t="shared" si="1"/>
        <v>2345096.9737982368</v>
      </c>
    </row>
    <row r="29" spans="2:16" ht="15.75" thickBot="1" x14ac:dyDescent="0.3">
      <c r="B29" s="331" t="s">
        <v>66</v>
      </c>
      <c r="C29" s="415">
        <f>SUM(C9:C28)</f>
        <v>100.00000000000001</v>
      </c>
      <c r="D29" s="333">
        <f>SUM(D9:D28)</f>
        <v>38873250</v>
      </c>
      <c r="E29" s="430">
        <f>SUM(E9:E28)</f>
        <v>1235456</v>
      </c>
      <c r="F29" s="431">
        <f>SUM(F9:F28)</f>
        <v>100</v>
      </c>
      <c r="G29" s="432">
        <f>SUM(G9:G28)</f>
        <v>11137382.775</v>
      </c>
      <c r="H29" s="433">
        <f>D29+G29</f>
        <v>50010632.774999999</v>
      </c>
    </row>
    <row r="30" spans="2:16" ht="15" customHeight="1" x14ac:dyDescent="0.2">
      <c r="B30" s="994" t="s">
        <v>297</v>
      </c>
      <c r="C30" s="994"/>
      <c r="D30" s="994"/>
      <c r="E30" s="994"/>
      <c r="F30" s="994"/>
      <c r="G30" s="994"/>
      <c r="H30" s="994"/>
    </row>
    <row r="31" spans="2:16" x14ac:dyDescent="0.2">
      <c r="B31" s="542" t="s">
        <v>296</v>
      </c>
      <c r="C31" s="545"/>
      <c r="D31" s="546"/>
      <c r="E31" s="546"/>
      <c r="F31" s="546"/>
      <c r="G31" s="547"/>
      <c r="H31" s="546"/>
      <c r="I31" s="546"/>
      <c r="J31" s="548"/>
      <c r="K31" s="548"/>
      <c r="L31" s="549"/>
      <c r="M31" s="549"/>
      <c r="N31" s="550"/>
      <c r="O31" s="546"/>
      <c r="P31" s="546"/>
    </row>
    <row r="32" spans="2:16" ht="55.5" customHeight="1" x14ac:dyDescent="0.2">
      <c r="B32" s="968" t="s">
        <v>299</v>
      </c>
      <c r="C32" s="968"/>
      <c r="D32" s="968"/>
      <c r="E32" s="968"/>
      <c r="F32" s="968"/>
      <c r="G32" s="968"/>
      <c r="H32" s="968"/>
      <c r="I32" s="551"/>
      <c r="J32" s="551"/>
      <c r="K32" s="551"/>
      <c r="L32" s="551"/>
      <c r="M32" s="551"/>
      <c r="N32" s="554"/>
      <c r="O32" s="551"/>
      <c r="P32" s="551"/>
    </row>
    <row r="33" spans="2:20" ht="14.25" customHeight="1" x14ac:dyDescent="0.2">
      <c r="B33" s="964" t="s">
        <v>431</v>
      </c>
      <c r="C33" s="904"/>
      <c r="D33" s="904"/>
      <c r="E33" s="904"/>
      <c r="F33" s="904"/>
      <c r="G33" s="904"/>
      <c r="H33" s="904"/>
      <c r="I33" s="552"/>
      <c r="J33" s="552"/>
      <c r="K33" s="552"/>
      <c r="L33" s="552"/>
      <c r="M33" s="552"/>
      <c r="N33" s="552"/>
      <c r="O33" s="552"/>
      <c r="P33" s="552"/>
      <c r="Q33" s="552"/>
      <c r="R33" s="552"/>
      <c r="S33" s="552"/>
      <c r="T33" s="552"/>
    </row>
    <row r="34" spans="2:20" ht="25.5" customHeight="1" x14ac:dyDescent="0.2">
      <c r="B34" s="968"/>
      <c r="C34" s="968"/>
      <c r="D34" s="968"/>
      <c r="E34" s="968"/>
      <c r="F34" s="968"/>
      <c r="G34" s="968"/>
      <c r="H34" s="968"/>
    </row>
  </sheetData>
  <mergeCells count="11">
    <mergeCell ref="B1:H1"/>
    <mergeCell ref="H5:H7"/>
    <mergeCell ref="G5:G7"/>
    <mergeCell ref="B30:H30"/>
    <mergeCell ref="B34:H34"/>
    <mergeCell ref="B32:H32"/>
    <mergeCell ref="B33:H33"/>
    <mergeCell ref="B5:B8"/>
    <mergeCell ref="E5:F5"/>
    <mergeCell ref="E6:F6"/>
    <mergeCell ref="B2:H3"/>
  </mergeCells>
  <printOptions horizontalCentered="1"/>
  <pageMargins left="0.70866141732283472" right="0.39370078740157483" top="0.49" bottom="0.74803149606299213" header="0.31496062992125984" footer="0.31496062992125984"/>
  <pageSetup orientation="landscape" r:id="rId1"/>
  <ignoredErrors>
    <ignoredError sqref="D7:D8 C8 E8:G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B2:Y31"/>
  <sheetViews>
    <sheetView workbookViewId="0">
      <selection activeCell="B2" sqref="B2:L2"/>
    </sheetView>
  </sheetViews>
  <sheetFormatPr baseColWidth="10" defaultRowHeight="15" x14ac:dyDescent="0.25"/>
  <cols>
    <col min="1" max="1" width="3.5703125" customWidth="1"/>
    <col min="2" max="2" width="21.28515625" customWidth="1"/>
    <col min="3" max="3" width="15.28515625" customWidth="1"/>
    <col min="4" max="4" width="16.5703125" bestFit="1" customWidth="1"/>
    <col min="5" max="5" width="14.7109375" customWidth="1"/>
    <col min="6" max="6" width="15.28515625" bestFit="1" customWidth="1"/>
    <col min="7" max="7" width="14" customWidth="1"/>
    <col min="8" max="10" width="15.5703125" customWidth="1"/>
    <col min="11" max="11" width="15.5703125" hidden="1" customWidth="1"/>
    <col min="12" max="12" width="14.140625" hidden="1" customWidth="1"/>
    <col min="13" max="13" width="19" hidden="1" customWidth="1"/>
    <col min="14" max="14" width="17.5703125" hidden="1" customWidth="1"/>
    <col min="15" max="15" width="16.5703125" hidden="1" customWidth="1"/>
    <col min="16" max="16" width="14.85546875" hidden="1" customWidth="1"/>
    <col min="17" max="18" width="15.42578125" style="10" hidden="1" customWidth="1"/>
    <col min="19" max="19" width="15.85546875" customWidth="1"/>
    <col min="20" max="20" width="14.7109375" customWidth="1"/>
    <col min="21" max="21" width="15.140625" customWidth="1"/>
  </cols>
  <sheetData>
    <row r="2" spans="2:25" x14ac:dyDescent="0.25">
      <c r="B2" s="921" t="s">
        <v>421</v>
      </c>
      <c r="C2" s="921"/>
      <c r="D2" s="921"/>
      <c r="E2" s="921"/>
      <c r="F2" s="921"/>
      <c r="G2" s="921"/>
      <c r="H2" s="921"/>
      <c r="I2" s="921"/>
      <c r="J2" s="921"/>
      <c r="K2" s="999"/>
      <c r="L2" s="999"/>
      <c r="M2" s="9"/>
      <c r="N2" s="9"/>
      <c r="O2" s="9"/>
      <c r="P2" s="9"/>
      <c r="S2" s="189"/>
    </row>
    <row r="3" spans="2:25" x14ac:dyDescent="0.25">
      <c r="B3" s="840" t="s">
        <v>278</v>
      </c>
      <c r="C3" s="840"/>
      <c r="D3" s="840"/>
      <c r="E3" s="840"/>
      <c r="F3" s="840"/>
      <c r="G3" s="840"/>
      <c r="H3" s="840"/>
      <c r="I3" s="840"/>
      <c r="J3" s="840"/>
      <c r="K3" s="9"/>
      <c r="L3" s="9"/>
      <c r="M3" s="9"/>
      <c r="N3" s="189" t="s">
        <v>171</v>
      </c>
      <c r="O3" s="9"/>
      <c r="P3" s="9"/>
      <c r="Q3" s="77"/>
      <c r="R3" s="77"/>
    </row>
    <row r="4" spans="2:25" ht="15.75" thickBot="1" x14ac:dyDescent="0.3">
      <c r="M4" s="190"/>
      <c r="N4" s="190"/>
      <c r="O4" s="190"/>
      <c r="P4" s="190"/>
      <c r="Q4" s="190"/>
      <c r="R4" s="190"/>
      <c r="S4" s="190"/>
    </row>
    <row r="5" spans="2:25" ht="15" customHeight="1" x14ac:dyDescent="0.25">
      <c r="B5" s="851" t="s">
        <v>84</v>
      </c>
      <c r="C5" s="357" t="s">
        <v>140</v>
      </c>
      <c r="D5" s="1000" t="s">
        <v>240</v>
      </c>
      <c r="E5" s="460" t="s">
        <v>141</v>
      </c>
      <c r="F5" s="1000" t="s">
        <v>241</v>
      </c>
      <c r="G5" s="460" t="s">
        <v>30</v>
      </c>
      <c r="H5" s="460" t="s">
        <v>30</v>
      </c>
      <c r="I5" s="1000" t="s">
        <v>242</v>
      </c>
      <c r="J5" s="1002" t="s">
        <v>243</v>
      </c>
      <c r="K5" s="198"/>
      <c r="L5" s="106" t="s">
        <v>142</v>
      </c>
      <c r="M5" s="106"/>
      <c r="N5" s="106" t="s">
        <v>25</v>
      </c>
      <c r="O5" s="998"/>
      <c r="P5" s="998"/>
      <c r="Q5" s="190"/>
      <c r="R5" s="190"/>
      <c r="S5" s="190"/>
      <c r="T5" s="190"/>
      <c r="U5" s="149"/>
      <c r="V5" s="149"/>
      <c r="W5" s="157"/>
      <c r="X5" s="157"/>
      <c r="Y5" s="157"/>
    </row>
    <row r="6" spans="2:25" x14ac:dyDescent="0.25">
      <c r="B6" s="852"/>
      <c r="C6" s="358" t="s">
        <v>34</v>
      </c>
      <c r="D6" s="1001"/>
      <c r="E6" s="356" t="s">
        <v>34</v>
      </c>
      <c r="F6" s="1001"/>
      <c r="G6" s="356" t="s">
        <v>34</v>
      </c>
      <c r="H6" s="356" t="s">
        <v>143</v>
      </c>
      <c r="I6" s="1001"/>
      <c r="J6" s="1003"/>
      <c r="K6" s="199"/>
      <c r="L6" s="23" t="s">
        <v>144</v>
      </c>
      <c r="M6" s="23"/>
      <c r="N6" s="23" t="s">
        <v>172</v>
      </c>
      <c r="O6" s="998"/>
      <c r="P6" s="998"/>
      <c r="Q6" s="190"/>
      <c r="R6" s="190"/>
      <c r="S6" s="190"/>
      <c r="T6" s="190"/>
      <c r="U6" s="149"/>
      <c r="V6" s="149"/>
      <c r="W6" s="157"/>
      <c r="X6" s="157"/>
      <c r="Y6" s="157"/>
    </row>
    <row r="7" spans="2:25" x14ac:dyDescent="0.25">
      <c r="B7" s="852"/>
      <c r="C7" s="479">
        <v>0.6</v>
      </c>
      <c r="D7" s="461" t="s">
        <v>45</v>
      </c>
      <c r="E7" s="461">
        <v>0.3</v>
      </c>
      <c r="F7" s="461" t="s">
        <v>45</v>
      </c>
      <c r="G7" s="461">
        <v>0.1</v>
      </c>
      <c r="H7" s="461"/>
      <c r="I7" s="461" t="s">
        <v>45</v>
      </c>
      <c r="J7" s="1003"/>
      <c r="K7" s="200"/>
      <c r="L7" s="23" t="s">
        <v>33</v>
      </c>
      <c r="M7" s="23"/>
      <c r="N7" s="140"/>
      <c r="O7" s="190"/>
      <c r="P7" s="190"/>
      <c r="Q7" s="190"/>
      <c r="R7" s="190"/>
      <c r="S7" s="190"/>
      <c r="T7" s="190"/>
      <c r="U7" s="149"/>
      <c r="V7" s="149"/>
      <c r="W7" s="157"/>
      <c r="X7" s="157"/>
      <c r="Y7" s="157"/>
    </row>
    <row r="8" spans="2:25" ht="15.75" thickBot="1" x14ac:dyDescent="0.3">
      <c r="B8" s="853"/>
      <c r="C8" s="557">
        <v>1</v>
      </c>
      <c r="D8" s="558" t="s">
        <v>98</v>
      </c>
      <c r="E8" s="558" t="s">
        <v>72</v>
      </c>
      <c r="F8" s="558" t="s">
        <v>99</v>
      </c>
      <c r="G8" s="558" t="s">
        <v>74</v>
      </c>
      <c r="H8" s="558" t="s">
        <v>303</v>
      </c>
      <c r="I8" s="558" t="s">
        <v>75</v>
      </c>
      <c r="J8" s="560" t="s">
        <v>304</v>
      </c>
      <c r="K8" s="201"/>
      <c r="L8" s="141" t="s">
        <v>173</v>
      </c>
      <c r="M8" s="141"/>
      <c r="N8" s="141" t="s">
        <v>174</v>
      </c>
      <c r="O8" s="162"/>
      <c r="P8" s="162"/>
      <c r="Q8" s="162"/>
      <c r="R8" s="162"/>
      <c r="S8" s="162"/>
      <c r="T8" s="190"/>
      <c r="U8" s="162"/>
      <c r="V8" s="162"/>
      <c r="W8" s="157"/>
      <c r="X8" s="157"/>
      <c r="Y8" s="157"/>
    </row>
    <row r="9" spans="2:25" ht="22.5" customHeight="1" x14ac:dyDescent="0.25">
      <c r="B9" s="152" t="s">
        <v>46</v>
      </c>
      <c r="C9" s="480">
        <f>FGP!E8</f>
        <v>3.0136241193535018</v>
      </c>
      <c r="D9" s="427">
        <f t="shared" ref="D9:D28" si="0">C9*$D$29/100</f>
        <v>103620.79090324543</v>
      </c>
      <c r="E9" s="462">
        <f>FGP!K8</f>
        <v>4.7940132358696488</v>
      </c>
      <c r="F9" s="427">
        <f t="shared" ref="F9:F28" si="1">E9*$F$29/100</f>
        <v>82418.945334165852</v>
      </c>
      <c r="G9" s="462">
        <f>FGP!Q8</f>
        <v>4.3373877853929619</v>
      </c>
      <c r="H9" s="462">
        <f>G9*10%</f>
        <v>0.43373877853929621</v>
      </c>
      <c r="I9" s="427">
        <f>G9*$I$29/100</f>
        <v>24856.204964324472</v>
      </c>
      <c r="J9" s="463">
        <f t="shared" ref="J9:J28" si="2">D9+F9+I9</f>
        <v>210895.94120173575</v>
      </c>
      <c r="K9" s="202"/>
      <c r="L9" s="203" t="e">
        <f>#REF!+#REF!+H9</f>
        <v>#REF!</v>
      </c>
      <c r="M9" s="164"/>
      <c r="N9" s="204" t="e">
        <f>[1]Datos!K$64*L9%*22.5%</f>
        <v>#REF!</v>
      </c>
      <c r="O9" s="205"/>
      <c r="P9" s="146"/>
      <c r="Q9" s="164"/>
      <c r="R9" s="122"/>
      <c r="S9" s="122"/>
      <c r="T9" s="164"/>
      <c r="U9" s="165"/>
      <c r="V9" s="166"/>
      <c r="W9" s="167"/>
      <c r="X9" s="157"/>
      <c r="Y9" s="157"/>
    </row>
    <row r="10" spans="2:25" ht="22.5" customHeight="1" x14ac:dyDescent="0.25">
      <c r="B10" s="152" t="s">
        <v>47</v>
      </c>
      <c r="C10" s="480">
        <f>FGP!E9</f>
        <v>1.2459367229589724</v>
      </c>
      <c r="D10" s="427">
        <f t="shared" si="0"/>
        <v>42840.428512399478</v>
      </c>
      <c r="E10" s="462">
        <f>FGP!K9</f>
        <v>3.2652473705641989</v>
      </c>
      <c r="F10" s="427">
        <f t="shared" si="1"/>
        <v>56136.316546535483</v>
      </c>
      <c r="G10" s="462">
        <f>FGP!Q9</f>
        <v>8.1526875739689952</v>
      </c>
      <c r="H10" s="462">
        <f t="shared" ref="H10:H29" si="3">G10*10%</f>
        <v>0.81526875739689952</v>
      </c>
      <c r="I10" s="427">
        <f t="shared" ref="I10:I28" si="4">G10*$I$29/100</f>
        <v>46720.487854722727</v>
      </c>
      <c r="J10" s="463">
        <f t="shared" si="2"/>
        <v>145697.23291365767</v>
      </c>
      <c r="K10" s="163"/>
      <c r="L10" s="206" t="e">
        <f>#REF!+#REF!+H10</f>
        <v>#REF!</v>
      </c>
      <c r="M10" s="206"/>
      <c r="N10" s="204" t="e">
        <f>[1]Datos!K$64*L10%*22.5%</f>
        <v>#REF!</v>
      </c>
      <c r="O10" s="205"/>
      <c r="P10" s="146"/>
      <c r="Q10" s="164"/>
      <c r="R10" s="207"/>
      <c r="S10" s="122"/>
      <c r="T10" s="164"/>
      <c r="U10" s="165"/>
      <c r="V10" s="166"/>
      <c r="W10" s="167"/>
      <c r="X10" s="157"/>
      <c r="Y10" s="157"/>
    </row>
    <row r="11" spans="2:25" ht="22.5" customHeight="1" x14ac:dyDescent="0.25">
      <c r="B11" s="152" t="s">
        <v>48</v>
      </c>
      <c r="C11" s="480">
        <f>FGP!E10</f>
        <v>0.93374430169912959</v>
      </c>
      <c r="D11" s="427">
        <f t="shared" si="0"/>
        <v>32105.969162544025</v>
      </c>
      <c r="E11" s="462">
        <f>FGP!K10</f>
        <v>4.3702948493606257</v>
      </c>
      <c r="F11" s="427">
        <f t="shared" si="1"/>
        <v>75134.35498855052</v>
      </c>
      <c r="G11" s="462">
        <f>FGP!Q10</f>
        <v>7.5244688594653066</v>
      </c>
      <c r="H11" s="462">
        <f t="shared" si="3"/>
        <v>0.75244688594653075</v>
      </c>
      <c r="I11" s="427">
        <f t="shared" si="4"/>
        <v>43120.364023804206</v>
      </c>
      <c r="J11" s="463">
        <f t="shared" si="2"/>
        <v>150360.68817489874</v>
      </c>
      <c r="K11" s="163"/>
      <c r="L11" s="206" t="e">
        <f>#REF!+#REF!+H11</f>
        <v>#REF!</v>
      </c>
      <c r="M11" s="206"/>
      <c r="N11" s="204" t="e">
        <f>[1]Datos!K$64*L11%*22.5%</f>
        <v>#REF!</v>
      </c>
      <c r="O11" s="205"/>
      <c r="P11" s="146"/>
      <c r="Q11" s="164"/>
      <c r="R11" s="122"/>
      <c r="S11" s="122"/>
      <c r="T11" s="164"/>
      <c r="U11" s="165"/>
      <c r="V11" s="166"/>
      <c r="W11" s="167"/>
      <c r="X11" s="157"/>
      <c r="Y11" s="157"/>
    </row>
    <row r="12" spans="2:25" ht="22.5" customHeight="1" x14ac:dyDescent="0.25">
      <c r="B12" s="152" t="s">
        <v>49</v>
      </c>
      <c r="C12" s="480">
        <f>FGP!E11</f>
        <v>15.187266887691669</v>
      </c>
      <c r="D12" s="427">
        <f t="shared" si="0"/>
        <v>522200.69399327855</v>
      </c>
      <c r="E12" s="462">
        <f>FGP!K11</f>
        <v>5.2246873186783906</v>
      </c>
      <c r="F12" s="427">
        <f t="shared" si="1"/>
        <v>89823.118401997737</v>
      </c>
      <c r="G12" s="462">
        <f>FGP!Q11</f>
        <v>1.3184560195391906</v>
      </c>
      <c r="H12" s="462">
        <f t="shared" si="3"/>
        <v>0.13184560195391906</v>
      </c>
      <c r="I12" s="427">
        <f t="shared" si="4"/>
        <v>7555.6566946767534</v>
      </c>
      <c r="J12" s="463">
        <f t="shared" si="2"/>
        <v>619579.469089953</v>
      </c>
      <c r="K12" s="163"/>
      <c r="L12" s="206" t="e">
        <f>#REF!+#REF!+H12</f>
        <v>#REF!</v>
      </c>
      <c r="M12" s="206"/>
      <c r="N12" s="204" t="e">
        <f>[1]Datos!K$64*L12%*22.5%</f>
        <v>#REF!</v>
      </c>
      <c r="O12" s="205"/>
      <c r="P12" s="146"/>
      <c r="Q12" s="164"/>
      <c r="R12" s="122"/>
      <c r="S12" s="122"/>
      <c r="T12" s="164"/>
      <c r="U12" s="165"/>
      <c r="V12" s="166"/>
      <c r="W12" s="167"/>
      <c r="X12" s="157"/>
      <c r="Y12" s="157"/>
    </row>
    <row r="13" spans="2:25" ht="22.5" customHeight="1" x14ac:dyDescent="0.25">
      <c r="B13" s="152" t="s">
        <v>50</v>
      </c>
      <c r="C13" s="480">
        <f>FGP!E12</f>
        <v>6.2678071902196431</v>
      </c>
      <c r="D13" s="427">
        <f t="shared" si="0"/>
        <v>215512.98787021145</v>
      </c>
      <c r="E13" s="462">
        <f>FGP!K12</f>
        <v>10.883466583865419</v>
      </c>
      <c r="F13" s="427">
        <f t="shared" si="1"/>
        <v>187109.16997689626</v>
      </c>
      <c r="G13" s="462">
        <f>FGP!Q12</f>
        <v>2.0041780210723017</v>
      </c>
      <c r="H13" s="462">
        <f t="shared" si="3"/>
        <v>0.20041780210723018</v>
      </c>
      <c r="I13" s="427">
        <f t="shared" si="4"/>
        <v>11485.313774464383</v>
      </c>
      <c r="J13" s="463">
        <f t="shared" si="2"/>
        <v>414107.4716215721</v>
      </c>
      <c r="K13" s="163"/>
      <c r="L13" s="206" t="e">
        <f>#REF!+#REF!+H13</f>
        <v>#REF!</v>
      </c>
      <c r="M13" s="206"/>
      <c r="N13" s="204" t="e">
        <f>[1]Datos!K$64*L13%*22.5%</f>
        <v>#REF!</v>
      </c>
      <c r="O13" s="205"/>
      <c r="P13" s="146"/>
      <c r="Q13" s="164"/>
      <c r="R13" s="122"/>
      <c r="S13" s="122"/>
      <c r="T13" s="164"/>
      <c r="U13" s="165"/>
      <c r="V13" s="166"/>
      <c r="W13" s="167"/>
      <c r="X13" s="157"/>
      <c r="Y13" s="157"/>
    </row>
    <row r="14" spans="2:25" ht="22.5" customHeight="1" x14ac:dyDescent="0.25">
      <c r="B14" s="152" t="s">
        <v>51</v>
      </c>
      <c r="C14" s="480">
        <f>FGP!E13</f>
        <v>3.8487813406547868</v>
      </c>
      <c r="D14" s="427">
        <f t="shared" si="0"/>
        <v>132336.93079741407</v>
      </c>
      <c r="E14" s="462">
        <f>FGP!K13</f>
        <v>3.857696854715869</v>
      </c>
      <c r="F14" s="427">
        <f t="shared" si="1"/>
        <v>66321.741418165708</v>
      </c>
      <c r="G14" s="462">
        <f>FGP!Q13</f>
        <v>4.0618739194945297</v>
      </c>
      <c r="H14" s="462">
        <f t="shared" si="3"/>
        <v>0.40618739194945297</v>
      </c>
      <c r="I14" s="427">
        <f t="shared" si="4"/>
        <v>23277.321668634922</v>
      </c>
      <c r="J14" s="463">
        <f t="shared" si="2"/>
        <v>221935.99388421469</v>
      </c>
      <c r="K14" s="163"/>
      <c r="L14" s="206" t="e">
        <f>#REF!+#REF!+H14</f>
        <v>#REF!</v>
      </c>
      <c r="M14" s="206"/>
      <c r="N14" s="204" t="e">
        <f>[1]Datos!K$64*L14%*22.5%</f>
        <v>#REF!</v>
      </c>
      <c r="O14" s="205"/>
      <c r="P14" s="146"/>
      <c r="Q14" s="164"/>
      <c r="R14" s="122"/>
      <c r="S14" s="122"/>
      <c r="T14" s="164"/>
      <c r="U14" s="165"/>
      <c r="V14" s="166"/>
      <c r="W14" s="167"/>
      <c r="X14" s="157"/>
      <c r="Y14" s="157"/>
    </row>
    <row r="15" spans="2:25" ht="22.5" customHeight="1" x14ac:dyDescent="0.25">
      <c r="B15" s="152" t="s">
        <v>52</v>
      </c>
      <c r="C15" s="480">
        <f>FGP!E14</f>
        <v>0.98991789266473262</v>
      </c>
      <c r="D15" s="427">
        <f t="shared" si="0"/>
        <v>34037.44823664298</v>
      </c>
      <c r="E15" s="462">
        <f>FGP!K14</f>
        <v>5.1170122349234575</v>
      </c>
      <c r="F15" s="427">
        <f t="shared" si="1"/>
        <v>87971.962302667598</v>
      </c>
      <c r="G15" s="462">
        <f>FGP!Q14</f>
        <v>6.6136413247721588</v>
      </c>
      <c r="H15" s="462">
        <f t="shared" si="3"/>
        <v>0.66136413247721593</v>
      </c>
      <c r="I15" s="427">
        <f t="shared" si="4"/>
        <v>37900.697946049499</v>
      </c>
      <c r="J15" s="463">
        <f t="shared" si="2"/>
        <v>159910.10848536008</v>
      </c>
      <c r="K15" s="163"/>
      <c r="L15" s="206" t="e">
        <f>#REF!+#REF!+H15</f>
        <v>#REF!</v>
      </c>
      <c r="M15" s="206"/>
      <c r="N15" s="204" t="e">
        <f>[1]Datos!K$64*L15%*22.5%</f>
        <v>#REF!</v>
      </c>
      <c r="O15" s="205"/>
      <c r="P15" s="146"/>
      <c r="Q15" s="164"/>
      <c r="R15" s="122"/>
      <c r="S15" s="122"/>
      <c r="T15" s="164"/>
      <c r="U15" s="165"/>
      <c r="V15" s="166"/>
      <c r="W15" s="167"/>
      <c r="X15" s="157"/>
      <c r="Y15" s="157"/>
    </row>
    <row r="16" spans="2:25" ht="22.5" customHeight="1" x14ac:dyDescent="0.25">
      <c r="B16" s="152" t="s">
        <v>53</v>
      </c>
      <c r="C16" s="480">
        <f>FGP!E15</f>
        <v>2.3715130283878989</v>
      </c>
      <c r="D16" s="427">
        <f t="shared" si="0"/>
        <v>81542.370881880852</v>
      </c>
      <c r="E16" s="462">
        <f>FGP!K15</f>
        <v>4.8207407866184884</v>
      </c>
      <c r="F16" s="427">
        <f t="shared" si="1"/>
        <v>82878.446890732812</v>
      </c>
      <c r="G16" s="462">
        <f>FGP!Q15</f>
        <v>4.9076904645360537</v>
      </c>
      <c r="H16" s="462">
        <f t="shared" si="3"/>
        <v>0.49076904645360542</v>
      </c>
      <c r="I16" s="427">
        <f t="shared" si="4"/>
        <v>28124.430215528238</v>
      </c>
      <c r="J16" s="463">
        <f t="shared" si="2"/>
        <v>192545.2479881419</v>
      </c>
      <c r="K16" s="163"/>
      <c r="L16" s="206" t="e">
        <f>#REF!+#REF!+H16</f>
        <v>#REF!</v>
      </c>
      <c r="M16" s="206"/>
      <c r="N16" s="204" t="e">
        <f>[1]Datos!K$64*L16%*22.5%</f>
        <v>#REF!</v>
      </c>
      <c r="O16" s="205"/>
      <c r="P16" s="146"/>
      <c r="Q16" s="164"/>
      <c r="R16" s="122"/>
      <c r="S16" s="122"/>
      <c r="T16" s="164"/>
      <c r="U16" s="165"/>
      <c r="V16" s="166"/>
      <c r="W16" s="167"/>
      <c r="X16" s="157"/>
      <c r="Y16" s="157"/>
    </row>
    <row r="17" spans="2:25" ht="22.5" customHeight="1" x14ac:dyDescent="0.25">
      <c r="B17" s="152" t="s">
        <v>54</v>
      </c>
      <c r="C17" s="480">
        <f>FGP!E16</f>
        <v>1.563876010153336</v>
      </c>
      <c r="D17" s="427">
        <f t="shared" si="0"/>
        <v>53772.488747357245</v>
      </c>
      <c r="E17" s="462">
        <f>FGP!K16</f>
        <v>5.9433962968826552</v>
      </c>
      <c r="F17" s="427">
        <f t="shared" si="1"/>
        <v>102179.20360063322</v>
      </c>
      <c r="G17" s="462">
        <f>FGP!Q16</f>
        <v>5.1742079063387214</v>
      </c>
      <c r="H17" s="462">
        <f t="shared" si="3"/>
        <v>0.51742079063387214</v>
      </c>
      <c r="I17" s="427">
        <f t="shared" si="4"/>
        <v>29651.757834775075</v>
      </c>
      <c r="J17" s="463">
        <f t="shared" si="2"/>
        <v>185603.45018276555</v>
      </c>
      <c r="K17" s="163"/>
      <c r="L17" s="206" t="e">
        <f>#REF!+#REF!+H17</f>
        <v>#REF!</v>
      </c>
      <c r="M17" s="206"/>
      <c r="N17" s="204" t="e">
        <f>[1]Datos!K$64*L17%*22.5%</f>
        <v>#REF!</v>
      </c>
      <c r="O17" s="205"/>
      <c r="P17" s="146"/>
      <c r="Q17" s="164"/>
      <c r="R17" s="122"/>
      <c r="S17" s="122"/>
      <c r="T17" s="164"/>
      <c r="U17" s="165"/>
      <c r="V17" s="166"/>
      <c r="W17" s="167"/>
      <c r="X17" s="157"/>
      <c r="Y17" s="157"/>
    </row>
    <row r="18" spans="2:25" ht="22.5" customHeight="1" x14ac:dyDescent="0.25">
      <c r="B18" s="152" t="s">
        <v>55</v>
      </c>
      <c r="C18" s="480">
        <f>FGP!E17</f>
        <v>1.1104401937422297</v>
      </c>
      <c r="D18" s="427">
        <f t="shared" si="0"/>
        <v>38181.500601676627</v>
      </c>
      <c r="E18" s="462">
        <f>FGP!K17</f>
        <v>1.1232580567578638</v>
      </c>
      <c r="F18" s="427">
        <f t="shared" si="1"/>
        <v>19311.115723128336</v>
      </c>
      <c r="G18" s="462">
        <f>FGP!Q17</f>
        <v>14.035306290378907</v>
      </c>
      <c r="H18" s="462">
        <f t="shared" si="3"/>
        <v>1.4035306290378908</v>
      </c>
      <c r="I18" s="427">
        <f t="shared" si="4"/>
        <v>80431.925193685223</v>
      </c>
      <c r="J18" s="463">
        <f t="shared" si="2"/>
        <v>137924.54151849018</v>
      </c>
      <c r="K18" s="163"/>
      <c r="L18" s="206" t="e">
        <f>#REF!+#REF!+H18</f>
        <v>#REF!</v>
      </c>
      <c r="M18" s="206"/>
      <c r="N18" s="204" t="e">
        <f>[1]Datos!K$64*L18%*22.5%</f>
        <v>#REF!</v>
      </c>
      <c r="O18" s="205"/>
      <c r="P18" s="146"/>
      <c r="Q18" s="164"/>
      <c r="R18" s="122"/>
      <c r="S18" s="122"/>
      <c r="T18" s="164"/>
      <c r="U18" s="165"/>
      <c r="V18" s="166"/>
      <c r="W18" s="167"/>
      <c r="X18" s="157"/>
      <c r="Y18" s="157"/>
    </row>
    <row r="19" spans="2:25" ht="22.5" customHeight="1" x14ac:dyDescent="0.25">
      <c r="B19" s="152" t="s">
        <v>56</v>
      </c>
      <c r="C19" s="480">
        <f>FGP!E18</f>
        <v>2.7169725186489848</v>
      </c>
      <c r="D19" s="427">
        <f t="shared" si="0"/>
        <v>93420.688876483662</v>
      </c>
      <c r="E19" s="462">
        <f>FGP!K18</f>
        <v>5.1114352253506885</v>
      </c>
      <c r="F19" s="427">
        <f t="shared" si="1"/>
        <v>87876.082040246329</v>
      </c>
      <c r="G19" s="462">
        <f>FGP!Q18</f>
        <v>4.4508596345849929</v>
      </c>
      <c r="H19" s="462">
        <f t="shared" si="3"/>
        <v>0.44508596345849932</v>
      </c>
      <c r="I19" s="427">
        <f t="shared" si="4"/>
        <v>25506.476436637044</v>
      </c>
      <c r="J19" s="463">
        <f t="shared" si="2"/>
        <v>206803.24735336704</v>
      </c>
      <c r="K19" s="163"/>
      <c r="L19" s="206" t="e">
        <f>#REF!+#REF!+H19</f>
        <v>#REF!</v>
      </c>
      <c r="M19" s="206"/>
      <c r="N19" s="204" t="e">
        <f>[1]Datos!K$64*L19%*22.5%</f>
        <v>#REF!</v>
      </c>
      <c r="O19" s="205"/>
      <c r="P19" s="146"/>
      <c r="Q19" s="164"/>
      <c r="R19" s="122"/>
      <c r="S19" s="122"/>
      <c r="T19" s="164"/>
      <c r="U19" s="165"/>
      <c r="V19" s="166"/>
      <c r="W19" s="167"/>
      <c r="X19" s="157"/>
      <c r="Y19" s="157"/>
    </row>
    <row r="20" spans="2:25" ht="22.5" customHeight="1" x14ac:dyDescent="0.25">
      <c r="B20" s="152" t="s">
        <v>57</v>
      </c>
      <c r="C20" s="480">
        <f>FGP!E19</f>
        <v>1.9503729796933278</v>
      </c>
      <c r="D20" s="427">
        <f t="shared" si="0"/>
        <v>67061.84404825425</v>
      </c>
      <c r="E20" s="462">
        <f>FGP!K19</f>
        <v>6.0204534046917546</v>
      </c>
      <c r="F20" s="427">
        <f t="shared" si="1"/>
        <v>103503.97373447599</v>
      </c>
      <c r="G20" s="462">
        <f>FGP!Q19</f>
        <v>4.7308803724187767</v>
      </c>
      <c r="H20" s="462">
        <f t="shared" si="3"/>
        <v>0.4730880372418777</v>
      </c>
      <c r="I20" s="427">
        <f t="shared" si="4"/>
        <v>27111.187197638854</v>
      </c>
      <c r="J20" s="463">
        <f t="shared" si="2"/>
        <v>197677.00498036909</v>
      </c>
      <c r="K20" s="163"/>
      <c r="L20" s="206" t="e">
        <f>#REF!+#REF!+H20</f>
        <v>#REF!</v>
      </c>
      <c r="M20" s="206"/>
      <c r="N20" s="204" t="e">
        <f>[1]Datos!K$64*L20%*22.5%</f>
        <v>#REF!</v>
      </c>
      <c r="O20" s="205"/>
      <c r="P20" s="146"/>
      <c r="Q20" s="164"/>
      <c r="R20" s="122"/>
      <c r="S20" s="122"/>
      <c r="T20" s="164"/>
      <c r="U20" s="165"/>
      <c r="V20" s="166"/>
      <c r="W20" s="167"/>
      <c r="X20" s="157"/>
      <c r="Y20" s="157"/>
    </row>
    <row r="21" spans="2:25" ht="22.5" customHeight="1" x14ac:dyDescent="0.25">
      <c r="B21" s="152" t="s">
        <v>58</v>
      </c>
      <c r="C21" s="480">
        <f>FGP!E20</f>
        <v>3.3605405615416495</v>
      </c>
      <c r="D21" s="427">
        <f t="shared" si="0"/>
        <v>115549.20489688827</v>
      </c>
      <c r="E21" s="462">
        <f>FGP!K20</f>
        <v>3.703231774645289</v>
      </c>
      <c r="F21" s="427">
        <f t="shared" si="1"/>
        <v>63666.169069069925</v>
      </c>
      <c r="G21" s="462">
        <f>FGP!Q20</f>
        <v>4.5025516600330908</v>
      </c>
      <c r="H21" s="462">
        <f t="shared" si="3"/>
        <v>0.45025516600330912</v>
      </c>
      <c r="I21" s="427">
        <f t="shared" si="4"/>
        <v>25802.707173461189</v>
      </c>
      <c r="J21" s="463">
        <f t="shared" si="2"/>
        <v>205018.08113941937</v>
      </c>
      <c r="K21" s="163"/>
      <c r="L21" s="206" t="e">
        <f>#REF!+#REF!+H21</f>
        <v>#REF!</v>
      </c>
      <c r="M21" s="206"/>
      <c r="N21" s="204" t="e">
        <f>[1]Datos!K$64*L21%*22.5%</f>
        <v>#REF!</v>
      </c>
      <c r="O21" s="205"/>
      <c r="P21" s="146"/>
      <c r="Q21" s="164"/>
      <c r="R21" s="122"/>
      <c r="S21" s="122"/>
      <c r="T21" s="164"/>
      <c r="U21" s="165"/>
      <c r="V21" s="166"/>
      <c r="W21" s="167"/>
      <c r="X21" s="157"/>
      <c r="Y21" s="157"/>
    </row>
    <row r="22" spans="2:25" ht="22.5" customHeight="1" x14ac:dyDescent="0.25">
      <c r="B22" s="152" t="s">
        <v>59</v>
      </c>
      <c r="C22" s="480">
        <f>FGP!E21</f>
        <v>0.62187564753418989</v>
      </c>
      <c r="D22" s="427">
        <f t="shared" si="0"/>
        <v>21382.642256919713</v>
      </c>
      <c r="E22" s="462">
        <f>FGP!K21</f>
        <v>5.4326405147248629</v>
      </c>
      <c r="F22" s="427">
        <f t="shared" si="1"/>
        <v>93398.261450994803</v>
      </c>
      <c r="G22" s="462">
        <f>FGP!Q21</f>
        <v>7.0301457253488753</v>
      </c>
      <c r="H22" s="462">
        <f t="shared" si="3"/>
        <v>0.70301457253488753</v>
      </c>
      <c r="I22" s="427">
        <f t="shared" si="4"/>
        <v>40287.553643882849</v>
      </c>
      <c r="J22" s="463">
        <f t="shared" si="2"/>
        <v>155068.45735179738</v>
      </c>
      <c r="K22" s="163"/>
      <c r="L22" s="206" t="e">
        <f>#REF!+#REF!+H22</f>
        <v>#REF!</v>
      </c>
      <c r="M22" s="206"/>
      <c r="N22" s="204" t="e">
        <f>[1]Datos!K$64*L22%*22.5%</f>
        <v>#REF!</v>
      </c>
      <c r="O22" s="205"/>
      <c r="P22" s="146"/>
      <c r="Q22" s="164"/>
      <c r="R22" s="122"/>
      <c r="S22" s="122"/>
      <c r="T22" s="164"/>
      <c r="U22" s="165"/>
      <c r="V22" s="166"/>
      <c r="W22" s="167"/>
      <c r="X22" s="157"/>
      <c r="Y22" s="157"/>
    </row>
    <row r="23" spans="2:25" ht="22.5" customHeight="1" x14ac:dyDescent="0.25">
      <c r="B23" s="152" t="s">
        <v>60</v>
      </c>
      <c r="C23" s="480">
        <f>FGP!E22</f>
        <v>2.0163405252797348</v>
      </c>
      <c r="D23" s="427">
        <f t="shared" si="0"/>
        <v>69330.079560344515</v>
      </c>
      <c r="E23" s="462">
        <f>FGP!K22</f>
        <v>2.9199248566161398</v>
      </c>
      <c r="F23" s="427">
        <f t="shared" si="1"/>
        <v>50199.512453715979</v>
      </c>
      <c r="G23" s="462">
        <f>FGP!Q22</f>
        <v>6.7508511152531661</v>
      </c>
      <c r="H23" s="462">
        <f t="shared" si="3"/>
        <v>0.67508511152531669</v>
      </c>
      <c r="I23" s="427">
        <f t="shared" si="4"/>
        <v>38687.004092526317</v>
      </c>
      <c r="J23" s="463">
        <f t="shared" si="2"/>
        <v>158216.5961065868</v>
      </c>
      <c r="K23" s="163"/>
      <c r="L23" s="206" t="e">
        <f>#REF!+#REF!+H23</f>
        <v>#REF!</v>
      </c>
      <c r="M23" s="206"/>
      <c r="N23" s="204" t="e">
        <f>[1]Datos!K$64*L23%*22.5%</f>
        <v>#REF!</v>
      </c>
      <c r="O23" s="205"/>
      <c r="P23" s="146"/>
      <c r="Q23" s="164"/>
      <c r="R23" s="122"/>
      <c r="S23" s="122"/>
      <c r="T23" s="164"/>
      <c r="U23" s="165"/>
      <c r="V23" s="166"/>
      <c r="W23" s="167"/>
      <c r="X23" s="157"/>
      <c r="Y23" s="157"/>
    </row>
    <row r="24" spans="2:25" ht="22.5" customHeight="1" x14ac:dyDescent="0.25">
      <c r="B24" s="152" t="s">
        <v>61</v>
      </c>
      <c r="C24" s="480">
        <f>FGP!E23</f>
        <v>7.6069888365105687</v>
      </c>
      <c r="D24" s="427">
        <f t="shared" si="0"/>
        <v>261559.56032117293</v>
      </c>
      <c r="E24" s="462">
        <f>FGP!K23</f>
        <v>5.2142964293231353</v>
      </c>
      <c r="F24" s="427">
        <f t="shared" si="1"/>
        <v>89644.4776474549</v>
      </c>
      <c r="G24" s="462">
        <f>FGP!Q23</f>
        <v>2.2976002332466257</v>
      </c>
      <c r="H24" s="462">
        <f t="shared" si="3"/>
        <v>0.22976002332466258</v>
      </c>
      <c r="I24" s="427">
        <f t="shared" si="4"/>
        <v>13166.824169143038</v>
      </c>
      <c r="J24" s="463">
        <f t="shared" si="2"/>
        <v>364370.86213777086</v>
      </c>
      <c r="K24" s="163"/>
      <c r="L24" s="206" t="e">
        <f>#REF!+#REF!+H24</f>
        <v>#REF!</v>
      </c>
      <c r="M24" s="206"/>
      <c r="N24" s="204" t="e">
        <f>[1]Datos!K$64*L24%*22.5%</f>
        <v>#REF!</v>
      </c>
      <c r="O24" s="205"/>
      <c r="P24" s="146"/>
      <c r="Q24" s="164"/>
      <c r="R24" s="122"/>
      <c r="S24" s="122"/>
      <c r="T24" s="164"/>
      <c r="U24" s="165"/>
      <c r="V24" s="166"/>
      <c r="W24" s="167"/>
      <c r="X24" s="157"/>
      <c r="Y24" s="157"/>
    </row>
    <row r="25" spans="2:25" ht="22.5" customHeight="1" x14ac:dyDescent="0.25">
      <c r="B25" s="152" t="s">
        <v>62</v>
      </c>
      <c r="C25" s="480">
        <f>FGP!E24</f>
        <v>3.0057727673021133</v>
      </c>
      <c r="D25" s="427">
        <f t="shared" si="0"/>
        <v>103350.82913064081</v>
      </c>
      <c r="E25" s="462">
        <f>FGP!K24</f>
        <v>5.3318613766369403</v>
      </c>
      <c r="F25" s="427">
        <f t="shared" si="1"/>
        <v>91665.660837641248</v>
      </c>
      <c r="G25" s="462">
        <f>FGP!Q24</f>
        <v>4.1377346073920043</v>
      </c>
      <c r="H25" s="462">
        <f t="shared" si="3"/>
        <v>0.41377346073920046</v>
      </c>
      <c r="I25" s="427">
        <f t="shared" si="4"/>
        <v>23712.055407099455</v>
      </c>
      <c r="J25" s="463">
        <f t="shared" si="2"/>
        <v>218728.54537538151</v>
      </c>
      <c r="K25" s="163"/>
      <c r="L25" s="206" t="e">
        <f>#REF!+#REF!+H25</f>
        <v>#REF!</v>
      </c>
      <c r="M25" s="206"/>
      <c r="N25" s="204" t="e">
        <f>[1]Datos!K$64*L25%*22.5%</f>
        <v>#REF!</v>
      </c>
      <c r="O25" s="205"/>
      <c r="P25" s="146"/>
      <c r="Q25" s="164"/>
      <c r="R25" s="122"/>
      <c r="S25" s="122"/>
      <c r="T25" s="164"/>
      <c r="U25" s="165"/>
      <c r="V25" s="166"/>
      <c r="W25" s="167"/>
      <c r="X25" s="157"/>
      <c r="Y25" s="157"/>
    </row>
    <row r="26" spans="2:25" ht="22.5" customHeight="1" x14ac:dyDescent="0.25">
      <c r="B26" s="152" t="s">
        <v>63</v>
      </c>
      <c r="C26" s="480">
        <f>FGP!E25</f>
        <v>34.475044032324909</v>
      </c>
      <c r="D26" s="427">
        <f t="shared" si="0"/>
        <v>1185393.7941736656</v>
      </c>
      <c r="E26" s="462">
        <f>FGP!K25</f>
        <v>5.4749330729020729</v>
      </c>
      <c r="F26" s="427">
        <f t="shared" si="1"/>
        <v>94125.357491191098</v>
      </c>
      <c r="G26" s="462">
        <f>FGP!Q25</f>
        <v>0.63064822320473857</v>
      </c>
      <c r="H26" s="462">
        <f t="shared" si="3"/>
        <v>6.3064822320473862E-2</v>
      </c>
      <c r="I26" s="427">
        <f t="shared" si="4"/>
        <v>3614.0465810215419</v>
      </c>
      <c r="J26" s="463">
        <f t="shared" si="2"/>
        <v>1283133.1982458781</v>
      </c>
      <c r="K26" s="163"/>
      <c r="L26" s="206" t="e">
        <f>#REF!+#REF!+H26</f>
        <v>#REF!</v>
      </c>
      <c r="M26" s="206"/>
      <c r="N26" s="204" t="e">
        <f>[1]Datos!K$64*L26%*22.5%</f>
        <v>#REF!</v>
      </c>
      <c r="O26" s="205"/>
      <c r="P26" s="146"/>
      <c r="Q26" s="164"/>
      <c r="R26" s="122"/>
      <c r="S26" s="122"/>
      <c r="T26" s="164"/>
      <c r="U26" s="165"/>
      <c r="V26" s="166"/>
      <c r="W26" s="167"/>
      <c r="X26" s="157"/>
      <c r="Y26" s="157"/>
    </row>
    <row r="27" spans="2:25" ht="22.5" customHeight="1" x14ac:dyDescent="0.25">
      <c r="B27" s="152" t="s">
        <v>64</v>
      </c>
      <c r="C27" s="480">
        <f>FGP!E26</f>
        <v>2.4334334852880231</v>
      </c>
      <c r="D27" s="427">
        <f t="shared" si="0"/>
        <v>83671.450841082144</v>
      </c>
      <c r="E27" s="462">
        <f>FGP!K26</f>
        <v>5.6639474376302665</v>
      </c>
      <c r="F27" s="427">
        <f t="shared" si="1"/>
        <v>97374.903086381586</v>
      </c>
      <c r="G27" s="462">
        <f>FGP!Q26</f>
        <v>4.4570159080760687</v>
      </c>
      <c r="H27" s="462">
        <f t="shared" si="3"/>
        <v>0.44570159080760691</v>
      </c>
      <c r="I27" s="427">
        <f t="shared" si="4"/>
        <v>25541.756103404667</v>
      </c>
      <c r="J27" s="463">
        <f t="shared" si="2"/>
        <v>206588.11003086838</v>
      </c>
      <c r="K27" s="163"/>
      <c r="L27" s="206" t="e">
        <f>#REF!+#REF!+H27</f>
        <v>#REF!</v>
      </c>
      <c r="M27" s="206"/>
      <c r="N27" s="204" t="e">
        <f>[1]Datos!K$64*L27%*22.5%</f>
        <v>#REF!</v>
      </c>
      <c r="O27" s="205"/>
      <c r="P27" s="146"/>
      <c r="Q27" s="164"/>
      <c r="R27" s="122"/>
      <c r="S27" s="122"/>
      <c r="T27" s="164"/>
      <c r="U27" s="165"/>
      <c r="V27" s="166"/>
      <c r="W27" s="167"/>
      <c r="X27" s="157"/>
      <c r="Y27" s="157"/>
    </row>
    <row r="28" spans="2:25" ht="22.5" customHeight="1" thickBot="1" x14ac:dyDescent="0.3">
      <c r="B28" s="152" t="s">
        <v>65</v>
      </c>
      <c r="C28" s="480">
        <f>FGP!E27</f>
        <v>5.2797509583506006</v>
      </c>
      <c r="D28" s="427">
        <f t="shared" si="0"/>
        <v>181539.55118789739</v>
      </c>
      <c r="E28" s="462">
        <f>FGP!K27</f>
        <v>5.7274623192422194</v>
      </c>
      <c r="F28" s="427">
        <f t="shared" si="1"/>
        <v>98466.854505354248</v>
      </c>
      <c r="G28" s="462">
        <f>FGP!Q27</f>
        <v>2.8818143554825237</v>
      </c>
      <c r="H28" s="462">
        <f t="shared" si="3"/>
        <v>0.28818143554825237</v>
      </c>
      <c r="I28" s="427">
        <f t="shared" si="4"/>
        <v>16514.771524519467</v>
      </c>
      <c r="J28" s="463">
        <f t="shared" si="2"/>
        <v>296521.17721777112</v>
      </c>
      <c r="K28" s="202"/>
      <c r="L28" s="164" t="e">
        <f>#REF!+#REF!+H28</f>
        <v>#REF!</v>
      </c>
      <c r="M28" s="164"/>
      <c r="N28" s="204" t="e">
        <f>[1]Datos!K$64*L28%*22.5%</f>
        <v>#REF!</v>
      </c>
      <c r="O28" s="205"/>
      <c r="P28" s="146"/>
      <c r="Q28" s="164"/>
      <c r="R28" s="122"/>
      <c r="S28" s="122"/>
      <c r="T28" s="164"/>
      <c r="U28" s="165"/>
      <c r="V28" s="166"/>
      <c r="W28" s="167"/>
      <c r="X28" s="157"/>
      <c r="Y28" s="157"/>
    </row>
    <row r="29" spans="2:25" ht="15.75" thickBot="1" x14ac:dyDescent="0.3">
      <c r="B29" s="478" t="s">
        <v>66</v>
      </c>
      <c r="C29" s="481">
        <v>99.999999999999986</v>
      </c>
      <c r="D29" s="71">
        <f>Datos!K59*'Incentivo ISAN'!C7</f>
        <v>3438411.2549999999</v>
      </c>
      <c r="E29" s="214">
        <v>100.00000000000003</v>
      </c>
      <c r="F29" s="71">
        <f>Datos!K59*'Incentivo ISAN'!E7</f>
        <v>1719205.6274999999</v>
      </c>
      <c r="G29" s="214">
        <v>99.999999999999972</v>
      </c>
      <c r="H29" s="215">
        <f t="shared" si="3"/>
        <v>9.9999999999999982</v>
      </c>
      <c r="I29" s="71">
        <f>Datos!K59*'Incentivo ISAN'!G7</f>
        <v>573068.54249999998</v>
      </c>
      <c r="J29" s="208">
        <f>SUM(J9:J28)</f>
        <v>5730685.4249999998</v>
      </c>
      <c r="K29" s="209"/>
      <c r="L29" s="210" t="e">
        <f>#REF!+#REF!+H29</f>
        <v>#REF!</v>
      </c>
      <c r="M29" s="210"/>
      <c r="N29" s="211" t="e">
        <f>SUM(N9:N28)</f>
        <v>#REF!</v>
      </c>
      <c r="O29" s="212"/>
      <c r="P29" s="213"/>
      <c r="Q29" s="169"/>
      <c r="R29" s="168"/>
      <c r="S29" s="168"/>
      <c r="T29" s="169"/>
      <c r="U29" s="149"/>
      <c r="V29" s="166"/>
      <c r="W29" s="167"/>
      <c r="X29" s="157"/>
      <c r="Y29" s="157"/>
    </row>
    <row r="30" spans="2:25" x14ac:dyDescent="0.25">
      <c r="B30" s="967" t="s">
        <v>297</v>
      </c>
      <c r="C30" s="967"/>
      <c r="D30" s="967"/>
      <c r="E30" s="967"/>
      <c r="F30" s="967"/>
      <c r="G30" s="967"/>
      <c r="H30" s="9"/>
      <c r="I30" s="9"/>
      <c r="J30" s="9"/>
      <c r="K30" s="9"/>
      <c r="L30" s="170"/>
      <c r="M30" s="170"/>
      <c r="N30" s="155"/>
      <c r="O30" s="155"/>
      <c r="P30" s="164"/>
      <c r="Q30" s="156"/>
      <c r="R30" s="156"/>
      <c r="S30" s="157"/>
      <c r="T30" s="157"/>
      <c r="U30" s="157"/>
      <c r="V30" s="157"/>
      <c r="W30" s="157"/>
      <c r="X30" s="157"/>
      <c r="Y30" s="157"/>
    </row>
    <row r="31" spans="2:25" ht="24.75" customHeight="1" x14ac:dyDescent="0.25">
      <c r="B31" s="996"/>
      <c r="C31" s="997"/>
      <c r="D31" s="997"/>
      <c r="E31" s="997"/>
      <c r="F31" s="997"/>
      <c r="G31" s="997"/>
      <c r="H31" s="997"/>
      <c r="I31" s="997"/>
      <c r="J31" s="997"/>
      <c r="K31" s="9"/>
      <c r="L31" s="9"/>
      <c r="M31" s="9"/>
      <c r="N31" s="171"/>
      <c r="O31" s="9"/>
      <c r="P31" s="9"/>
      <c r="Q31" s="77"/>
      <c r="R31" s="77"/>
    </row>
  </sheetData>
  <mergeCells count="10">
    <mergeCell ref="B30:G30"/>
    <mergeCell ref="B31:J31"/>
    <mergeCell ref="O5:P6"/>
    <mergeCell ref="B2:L2"/>
    <mergeCell ref="B5:B8"/>
    <mergeCell ref="D5:D6"/>
    <mergeCell ref="F5:F6"/>
    <mergeCell ref="I5:I6"/>
    <mergeCell ref="B3:J3"/>
    <mergeCell ref="J5:J7"/>
  </mergeCells>
  <printOptions horizontalCentered="1"/>
  <pageMargins left="0.70866141732283472" right="0.70866141732283472" top="0.74803149606299213" bottom="0.74803149606299213" header="0.31496062992125984" footer="0.31496062992125984"/>
  <pageSetup scale="8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17</vt:i4>
      </vt:variant>
    </vt:vector>
  </HeadingPairs>
  <TitlesOfParts>
    <vt:vector size="36" baseType="lpstr">
      <vt:lpstr>CALENDARIO 2021</vt:lpstr>
      <vt:lpstr>Consolidado</vt:lpstr>
      <vt:lpstr>FGP</vt:lpstr>
      <vt:lpstr>FFM</vt:lpstr>
      <vt:lpstr>FOFIR</vt:lpstr>
      <vt:lpstr>IEPS TyA</vt:lpstr>
      <vt:lpstr>IEPS GyD </vt:lpstr>
      <vt:lpstr>Incentivo ISAN</vt:lpstr>
      <vt:lpstr>FOCO ISAN</vt:lpstr>
      <vt:lpstr>IEPS 2014 </vt:lpstr>
      <vt:lpstr>Predial y Agua</vt:lpstr>
      <vt:lpstr>CENSO 2020</vt:lpstr>
      <vt:lpstr>F.G.P. 2021</vt:lpstr>
      <vt:lpstr>F.F.M.2021</vt:lpstr>
      <vt:lpstr>FOFIR 2021</vt:lpstr>
      <vt:lpstr>IEPS2021</vt:lpstr>
      <vt:lpstr>IEPSGAS 2021</vt:lpstr>
      <vt:lpstr>ISAN RECAUDACION 2021</vt:lpstr>
      <vt:lpstr>FOCO ISAN 2021 </vt:lpstr>
      <vt:lpstr>'CALENDARIO 2021'!Área_de_impresión</vt:lpstr>
      <vt:lpstr>'CENSO 2020'!Área_de_impresión</vt:lpstr>
      <vt:lpstr>Datos!Área_de_impresión</vt:lpstr>
      <vt:lpstr>F.F.M.2021!Área_de_impresión</vt:lpstr>
      <vt:lpstr>'F.G.P. 2021'!Área_de_impresión</vt:lpstr>
      <vt:lpstr>'FOCO ISAN'!Área_de_impresión</vt:lpstr>
      <vt:lpstr>'FOCO ISAN 2021 '!Área_de_impresión</vt:lpstr>
      <vt:lpstr>FOFIR!Área_de_impresión</vt:lpstr>
      <vt:lpstr>'FOFIR 2021'!Área_de_impresión</vt:lpstr>
      <vt:lpstr>'IEPS 2014 '!Área_de_impresión</vt:lpstr>
      <vt:lpstr>'IEPS GyD '!Área_de_impresión</vt:lpstr>
      <vt:lpstr>'IEPS TyA'!Área_de_impresión</vt:lpstr>
      <vt:lpstr>IEPS2021!Área_de_impresión</vt:lpstr>
      <vt:lpstr>'IEPSGAS 2021'!Área_de_impresión</vt:lpstr>
      <vt:lpstr>'Incentivo ISAN'!Área_de_impresión</vt:lpstr>
      <vt:lpstr>'ISAN RECAUDACION 2021'!Área_de_impresión</vt:lpstr>
      <vt:lpstr>'Predial y Agua'!Área_de_impresión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INGCOORD</dc:creator>
  <cp:lastModifiedBy>UESAF</cp:lastModifiedBy>
  <cp:lastPrinted>2021-02-09T19:13:17Z</cp:lastPrinted>
  <dcterms:created xsi:type="dcterms:W3CDTF">2018-01-30T21:48:08Z</dcterms:created>
  <dcterms:modified xsi:type="dcterms:W3CDTF">2021-03-02T17:50:40Z</dcterms:modified>
</cp:coreProperties>
</file>